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24" documentId="13_ncr:1_{3BE4D34A-0140-4D43-BA63-09CAE783C291}" xr6:coauthVersionLast="47" xr6:coauthVersionMax="47" xr10:uidLastSave="{A9500797-085D-4E4D-89BF-2692F42BDFB5}"/>
  <bookViews>
    <workbookView xWindow="-28920" yWindow="-90" windowWidth="29040" windowHeight="15720" tabRatio="757" xr2:uid="{FF745DE7-E49C-4FB1-8FA5-F6BB029BB396}"/>
  </bookViews>
  <sheets>
    <sheet name="Totals" sheetId="18" r:id="rId1"/>
    <sheet name="Food" sheetId="15" r:id="rId2"/>
    <sheet name="Alcohol" sheetId="16" r:id="rId3"/>
    <sheet name="Clothing" sheetId="13" r:id="rId4"/>
    <sheet name="Housing" sheetId="5" r:id="rId5"/>
    <sheet name="HHGoods" sheetId="6" r:id="rId6"/>
    <sheet name="HHServices" sheetId="11" r:id="rId7"/>
    <sheet name="PersonalGoods+Services" sheetId="7" r:id="rId8"/>
    <sheet name="Health" sheetId="12" r:id="rId9"/>
    <sheet name="Transport" sheetId="8" r:id="rId10"/>
    <sheet name="LeisureGoods" sheetId="9" r:id="rId11"/>
    <sheet name="LeisureServices" sheetId="10" r:id="rId12"/>
  </sheets>
  <externalReferences>
    <externalReference r:id="rId13"/>
  </externalReferences>
  <definedNames>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2">Alcohol!$A$1:$M$10</definedName>
    <definedName name="_xlnm.Print_Area" localSheetId="3">Clothing!$A$1:$M$8</definedName>
    <definedName name="_xlnm.Print_Area" localSheetId="8">Health!$A$1:$M$20</definedName>
    <definedName name="_xlnm.Print_Area" localSheetId="5">HHGoods!$A$1:$M$194</definedName>
    <definedName name="_xlnm.Print_Area" localSheetId="4">Housing!$A$1:$K$17</definedName>
    <definedName name="_xlnm.Print_Area" localSheetId="7">'PersonalGoods+Services'!$A$1:$M$68</definedName>
    <definedName name="_xlnm.Print_Titles" localSheetId="3">Clothing!$1:$4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6" i="5" l="1"/>
  <c r="I6" i="5" s="1"/>
  <c r="F20" i="12" l="1"/>
  <c r="J9" i="12"/>
  <c r="K9" i="12" s="1"/>
  <c r="J8" i="8"/>
  <c r="K8" i="8" s="1"/>
  <c r="H9" i="5"/>
  <c r="I9" i="5" s="1"/>
  <c r="E39" i="18" l="1"/>
  <c r="G13" i="11" l="1"/>
  <c r="E29" i="18"/>
  <c r="J12" i="6" l="1"/>
  <c r="J188" i="6" l="1"/>
  <c r="J186" i="6"/>
  <c r="K186" i="6" s="1"/>
  <c r="J187" i="6"/>
  <c r="K187" i="6" s="1"/>
  <c r="J185" i="6"/>
  <c r="K185" i="6" s="1"/>
  <c r="J190" i="6"/>
  <c r="J191" i="6"/>
  <c r="K191" i="6" s="1"/>
  <c r="J189" i="6"/>
  <c r="K189" i="6" s="1"/>
  <c r="K190" i="6"/>
  <c r="K188" i="6"/>
  <c r="J184" i="6"/>
  <c r="K184" i="6" s="1"/>
  <c r="J183" i="6"/>
  <c r="K183" i="6" s="1"/>
  <c r="J182" i="6"/>
  <c r="K182" i="6" s="1"/>
  <c r="J181" i="6"/>
  <c r="K181" i="6" s="1"/>
  <c r="J180" i="6"/>
  <c r="K180" i="6" s="1"/>
  <c r="J179" i="6"/>
  <c r="K179" i="6" s="1"/>
  <c r="J178" i="6"/>
  <c r="K178" i="6" s="1"/>
  <c r="J177" i="6"/>
  <c r="K177" i="6" s="1"/>
  <c r="J176" i="6"/>
  <c r="K176" i="6" s="1"/>
  <c r="J163" i="6"/>
  <c r="K163" i="6" s="1"/>
  <c r="J162" i="6"/>
  <c r="K162" i="6" s="1"/>
  <c r="J160" i="6"/>
  <c r="J159" i="6"/>
  <c r="J158" i="6"/>
  <c r="J157" i="6"/>
  <c r="J156" i="6"/>
  <c r="J155" i="6"/>
  <c r="J154" i="6"/>
  <c r="J153" i="6"/>
  <c r="J55" i="6"/>
  <c r="K55" i="6" s="1"/>
  <c r="J54" i="6"/>
  <c r="J51" i="6"/>
  <c r="K51" i="6" s="1"/>
  <c r="J50" i="6"/>
  <c r="K50" i="6" s="1"/>
  <c r="J46" i="6"/>
  <c r="J39" i="6"/>
  <c r="J33" i="6"/>
  <c r="J32" i="6"/>
  <c r="J31" i="6"/>
  <c r="J26" i="6"/>
  <c r="J27" i="6"/>
  <c r="J14" i="6" l="1"/>
  <c r="K14" i="6" s="1"/>
  <c r="J13" i="6"/>
  <c r="J166" i="6" l="1"/>
  <c r="K166" i="6" s="1"/>
  <c r="J141" i="6"/>
  <c r="K141" i="6" s="1"/>
  <c r="J30" i="6"/>
  <c r="K30" i="6" s="1"/>
  <c r="J165" i="6"/>
  <c r="K165" i="6" s="1"/>
  <c r="J143" i="6"/>
  <c r="K143" i="6" s="1"/>
  <c r="J120" i="6"/>
  <c r="K120" i="6" s="1"/>
  <c r="J34" i="6"/>
  <c r="K34" i="6" s="1"/>
  <c r="J29" i="6"/>
  <c r="K29" i="6" s="1"/>
  <c r="J17" i="6"/>
  <c r="K17" i="6" s="1"/>
  <c r="J16" i="6"/>
  <c r="K16" i="6" s="1"/>
  <c r="J164" i="6"/>
  <c r="K164" i="6" s="1"/>
  <c r="J142" i="6"/>
  <c r="K142" i="6" s="1"/>
  <c r="J28" i="6"/>
  <c r="K28" i="6" s="1"/>
  <c r="F17" i="5" l="1"/>
  <c r="H10" i="5"/>
  <c r="I10" i="5" s="1"/>
  <c r="K10" i="11"/>
  <c r="J10" i="11"/>
  <c r="J8" i="6"/>
  <c r="K8" i="6" s="1"/>
  <c r="J7" i="6"/>
  <c r="K7" i="6" s="1"/>
  <c r="J121" i="6"/>
  <c r="K121" i="6" s="1"/>
  <c r="E20" i="9"/>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5" i="7"/>
  <c r="K6" i="7"/>
  <c r="K7" i="7"/>
  <c r="K8" i="7"/>
  <c r="K64" i="7"/>
  <c r="K65" i="7"/>
  <c r="K66" i="7"/>
  <c r="K63" i="7"/>
  <c r="K6" i="12"/>
  <c r="K7" i="12"/>
  <c r="K8" i="12"/>
  <c r="K10" i="12"/>
  <c r="K11" i="12"/>
  <c r="K12" i="12"/>
  <c r="K13" i="12"/>
  <c r="K14" i="12"/>
  <c r="K15" i="12"/>
  <c r="K16" i="12"/>
  <c r="K17" i="12"/>
  <c r="K18" i="12"/>
  <c r="K9" i="7"/>
  <c r="K7" i="16" l="1"/>
  <c r="F9" i="16"/>
  <c r="K6" i="16"/>
  <c r="J5" i="16"/>
  <c r="K5" i="16" s="1"/>
  <c r="J56" i="15" l="1"/>
  <c r="J57" i="15"/>
  <c r="K57" i="15" s="1"/>
  <c r="J74" i="15"/>
  <c r="K105" i="15"/>
  <c r="J79" i="15"/>
  <c r="J78" i="15"/>
  <c r="J45" i="15"/>
  <c r="J34" i="15"/>
  <c r="J28" i="15"/>
  <c r="K28" i="15" s="1"/>
  <c r="J23" i="15"/>
  <c r="J21" i="15"/>
  <c r="K20" i="15"/>
  <c r="J17" i="15"/>
  <c r="K9" i="15"/>
  <c r="K10" i="15"/>
  <c r="K11" i="15"/>
  <c r="K12" i="15"/>
  <c r="K13" i="15"/>
  <c r="K14" i="15"/>
  <c r="K15" i="15"/>
  <c r="K16" i="15"/>
  <c r="K17" i="15"/>
  <c r="K18" i="15"/>
  <c r="K19" i="15"/>
  <c r="K21" i="15"/>
  <c r="K22" i="15"/>
  <c r="K23" i="15"/>
  <c r="K24" i="15"/>
  <c r="K25" i="15"/>
  <c r="K26" i="15"/>
  <c r="K27" i="15"/>
  <c r="K29" i="15"/>
  <c r="K30" i="15"/>
  <c r="K31" i="15"/>
  <c r="K32" i="15"/>
  <c r="K33" i="15"/>
  <c r="K34" i="15"/>
  <c r="K35" i="15"/>
  <c r="K36" i="15"/>
  <c r="K37" i="15"/>
  <c r="K38" i="15"/>
  <c r="K39" i="15"/>
  <c r="K40" i="15"/>
  <c r="K41" i="15"/>
  <c r="K42" i="15"/>
  <c r="K43" i="15"/>
  <c r="K44" i="15"/>
  <c r="K45" i="15"/>
  <c r="K46" i="15"/>
  <c r="K47" i="15"/>
  <c r="K48" i="15"/>
  <c r="K49" i="15"/>
  <c r="K50" i="15"/>
  <c r="K51" i="15"/>
  <c r="K52" i="15"/>
  <c r="K53" i="15"/>
  <c r="K54" i="15"/>
  <c r="K55" i="15"/>
  <c r="K56" i="15"/>
  <c r="K58" i="15"/>
  <c r="K59" i="15"/>
  <c r="K60" i="15"/>
  <c r="K61" i="15"/>
  <c r="K62" i="15"/>
  <c r="K63" i="15"/>
  <c r="K64" i="15"/>
  <c r="K65" i="15"/>
  <c r="K66" i="15"/>
  <c r="K67" i="15"/>
  <c r="K68" i="15"/>
  <c r="K69" i="15"/>
  <c r="K70" i="15"/>
  <c r="K71" i="15"/>
  <c r="K72" i="15"/>
  <c r="K73" i="15"/>
  <c r="K74" i="15"/>
  <c r="K75" i="15"/>
  <c r="K76" i="15"/>
  <c r="K77" i="15"/>
  <c r="K78" i="15"/>
  <c r="K79" i="15"/>
  <c r="K80" i="15"/>
  <c r="K81" i="15"/>
  <c r="K82" i="15"/>
  <c r="K83" i="15"/>
  <c r="K84" i="15"/>
  <c r="K85" i="15"/>
  <c r="K86" i="15"/>
  <c r="K87" i="15"/>
  <c r="K88" i="15"/>
  <c r="K89" i="15"/>
  <c r="K90" i="15"/>
  <c r="K91" i="15"/>
  <c r="K92" i="15"/>
  <c r="K93" i="15"/>
  <c r="K94" i="15"/>
  <c r="K95" i="15"/>
  <c r="K96" i="15"/>
  <c r="K97" i="15"/>
  <c r="K98" i="15"/>
  <c r="K99" i="15"/>
  <c r="K100" i="15"/>
  <c r="K101" i="15"/>
  <c r="K102" i="15"/>
  <c r="K103" i="15"/>
  <c r="K5" i="15"/>
  <c r="K6" i="15"/>
  <c r="K7" i="15"/>
  <c r="J8" i="15"/>
  <c r="K8" i="15" s="1"/>
  <c r="K7" i="9" l="1"/>
  <c r="J7" i="9"/>
  <c r="J6" i="9"/>
  <c r="K6" i="9" s="1"/>
  <c r="H7" i="5" l="1"/>
  <c r="I7" i="5" s="1"/>
  <c r="I5" i="5" l="1"/>
  <c r="K9" i="8" l="1"/>
  <c r="E32" i="18" l="1"/>
  <c r="E10" i="8"/>
  <c r="J36" i="7" l="1"/>
  <c r="J49" i="7"/>
  <c r="J48" i="7"/>
  <c r="J19" i="7"/>
  <c r="J18" i="7"/>
  <c r="J107" i="15" l="1"/>
  <c r="K107" i="15" s="1"/>
  <c r="K106" i="15"/>
  <c r="E110" i="15" s="1"/>
  <c r="J16" i="9"/>
  <c r="K16" i="9" s="1"/>
  <c r="J9" i="11"/>
  <c r="K9" i="11" s="1"/>
  <c r="K8" i="11"/>
  <c r="J7" i="11"/>
  <c r="K7" i="11" s="1"/>
  <c r="J6" i="11"/>
  <c r="K6" i="11" s="1"/>
  <c r="K5" i="11"/>
  <c r="E14" i="18"/>
  <c r="K6" i="13"/>
  <c r="J6" i="13"/>
  <c r="J5" i="13"/>
  <c r="K5" i="13" s="1"/>
  <c r="J9" i="8"/>
  <c r="E17" i="10"/>
  <c r="E19" i="10"/>
  <c r="E20" i="10"/>
  <c r="J13" i="10"/>
  <c r="K13" i="10" s="1"/>
  <c r="J12" i="10"/>
  <c r="K12" i="10" s="1"/>
  <c r="J11" i="10"/>
  <c r="K11" i="10" s="1"/>
  <c r="K9" i="10"/>
  <c r="J8" i="10"/>
  <c r="K8" i="10" s="1"/>
  <c r="J7" i="10"/>
  <c r="K7" i="10" s="1"/>
  <c r="J5" i="10"/>
  <c r="K5" i="10" s="1"/>
  <c r="J18" i="9"/>
  <c r="K18" i="9" s="1"/>
  <c r="J17" i="9"/>
  <c r="K17" i="9" s="1"/>
  <c r="J15" i="9"/>
  <c r="K15" i="9" s="1"/>
  <c r="J14" i="9"/>
  <c r="K14" i="9" s="1"/>
  <c r="J13" i="9"/>
  <c r="K13" i="9" s="1"/>
  <c r="J12" i="9"/>
  <c r="K12" i="9" s="1"/>
  <c r="J11" i="9"/>
  <c r="K11" i="9" s="1"/>
  <c r="J10" i="9"/>
  <c r="K10" i="9" s="1"/>
  <c r="J9" i="9"/>
  <c r="K9" i="9" s="1"/>
  <c r="J8" i="9"/>
  <c r="K8" i="9" s="1"/>
  <c r="J5" i="9"/>
  <c r="K5" i="9" s="1"/>
  <c r="H17" i="18" l="1"/>
  <c r="H7" i="18"/>
  <c r="E27" i="18"/>
  <c r="G12" i="11"/>
  <c r="E26" i="18" s="1"/>
  <c r="E16" i="18"/>
  <c r="F14" i="5"/>
  <c r="E18" i="18" s="1"/>
  <c r="H10" i="18" s="1"/>
  <c r="E7" i="18"/>
  <c r="E109" i="15"/>
  <c r="E6" i="18" s="1"/>
  <c r="E25" i="18" l="1"/>
  <c r="E24" i="18"/>
  <c r="H15" i="18" s="1"/>
  <c r="E5" i="18"/>
  <c r="H5" i="18" s="1"/>
  <c r="J14" i="10"/>
  <c r="K14" i="10" s="1"/>
  <c r="J10" i="10"/>
  <c r="K10" i="10" s="1"/>
  <c r="E18" i="10"/>
  <c r="E38" i="18" s="1"/>
  <c r="J7" i="8"/>
  <c r="K7" i="8" s="1"/>
  <c r="J6" i="8"/>
  <c r="K6" i="8" s="1"/>
  <c r="E33" i="18" s="1"/>
  <c r="H18" i="18" s="1"/>
  <c r="J18" i="12"/>
  <c r="J17" i="12"/>
  <c r="J16" i="12"/>
  <c r="J15" i="12"/>
  <c r="J14" i="12"/>
  <c r="J13" i="12"/>
  <c r="J12" i="12"/>
  <c r="J11" i="12"/>
  <c r="J10" i="12"/>
  <c r="J8" i="12"/>
  <c r="J7" i="12"/>
  <c r="J6" i="12"/>
  <c r="J5" i="12"/>
  <c r="K5" i="12" s="1"/>
  <c r="J66" i="7"/>
  <c r="J65" i="7"/>
  <c r="J64" i="7"/>
  <c r="J63" i="7"/>
  <c r="J62" i="7"/>
  <c r="J61" i="7"/>
  <c r="J60" i="7"/>
  <c r="J59" i="7"/>
  <c r="J58" i="7"/>
  <c r="J57" i="7"/>
  <c r="J56" i="7"/>
  <c r="J55" i="7"/>
  <c r="J54" i="7"/>
  <c r="J53" i="7"/>
  <c r="J52" i="7"/>
  <c r="J51" i="7"/>
  <c r="J50" i="7"/>
  <c r="J47" i="7"/>
  <c r="J46" i="7"/>
  <c r="J45" i="7"/>
  <c r="J43" i="7"/>
  <c r="J42" i="7"/>
  <c r="J41" i="7"/>
  <c r="J40" i="7"/>
  <c r="J37" i="7"/>
  <c r="J35" i="7"/>
  <c r="J34" i="7"/>
  <c r="J33" i="7"/>
  <c r="J32" i="7"/>
  <c r="J31" i="7"/>
  <c r="J30" i="7"/>
  <c r="J29" i="7"/>
  <c r="J28" i="7"/>
  <c r="J27" i="7"/>
  <c r="J26" i="7"/>
  <c r="J25" i="7"/>
  <c r="J24" i="7"/>
  <c r="J23" i="7"/>
  <c r="J22" i="7"/>
  <c r="J21" i="7"/>
  <c r="J20" i="7"/>
  <c r="J17" i="7"/>
  <c r="J16" i="7"/>
  <c r="J15" i="7"/>
  <c r="J14" i="7"/>
  <c r="J13" i="7"/>
  <c r="J12" i="7"/>
  <c r="J11" i="7"/>
  <c r="J8" i="7"/>
  <c r="J6" i="7"/>
  <c r="J5" i="7"/>
  <c r="J175" i="6"/>
  <c r="K175" i="6" s="1"/>
  <c r="J174" i="6"/>
  <c r="K174" i="6" s="1"/>
  <c r="J173" i="6"/>
  <c r="K173" i="6" s="1"/>
  <c r="J172" i="6"/>
  <c r="K172" i="6" s="1"/>
  <c r="J171" i="6"/>
  <c r="K171" i="6" s="1"/>
  <c r="J170" i="6"/>
  <c r="K170" i="6" s="1"/>
  <c r="J169" i="6"/>
  <c r="K169" i="6" s="1"/>
  <c r="J168" i="6"/>
  <c r="K168" i="6" s="1"/>
  <c r="J167" i="6"/>
  <c r="K167" i="6" s="1"/>
  <c r="J161" i="6"/>
  <c r="K161" i="6" s="1"/>
  <c r="K160" i="6"/>
  <c r="K159" i="6"/>
  <c r="K158" i="6"/>
  <c r="K157" i="6"/>
  <c r="K156" i="6"/>
  <c r="K155" i="6"/>
  <c r="K154" i="6"/>
  <c r="K153" i="6"/>
  <c r="J152" i="6"/>
  <c r="K152" i="6" s="1"/>
  <c r="J151" i="6"/>
  <c r="K151" i="6" s="1"/>
  <c r="J150" i="6"/>
  <c r="K150" i="6" s="1"/>
  <c r="J149" i="6"/>
  <c r="K149" i="6" s="1"/>
  <c r="J148" i="6"/>
  <c r="K148" i="6" s="1"/>
  <c r="J147" i="6"/>
  <c r="K147" i="6" s="1"/>
  <c r="J146" i="6"/>
  <c r="K146" i="6" s="1"/>
  <c r="J145" i="6"/>
  <c r="K145" i="6" s="1"/>
  <c r="J144" i="6"/>
  <c r="K144" i="6" s="1"/>
  <c r="K140" i="6"/>
  <c r="J139" i="6"/>
  <c r="K139" i="6" s="1"/>
  <c r="J138" i="6"/>
  <c r="K138" i="6" s="1"/>
  <c r="K137" i="6"/>
  <c r="J136" i="6"/>
  <c r="K136" i="6" s="1"/>
  <c r="J135" i="6"/>
  <c r="K135" i="6" s="1"/>
  <c r="J134" i="6"/>
  <c r="K134" i="6" s="1"/>
  <c r="J133" i="6"/>
  <c r="K133" i="6" s="1"/>
  <c r="J132" i="6"/>
  <c r="K132" i="6" s="1"/>
  <c r="J131" i="6"/>
  <c r="K131" i="6" s="1"/>
  <c r="J130" i="6"/>
  <c r="K130" i="6" s="1"/>
  <c r="J129" i="6"/>
  <c r="K129" i="6" s="1"/>
  <c r="J128" i="6"/>
  <c r="K128" i="6" s="1"/>
  <c r="J127" i="6"/>
  <c r="K127" i="6" s="1"/>
  <c r="J126" i="6"/>
  <c r="K126" i="6" s="1"/>
  <c r="J125" i="6"/>
  <c r="K125" i="6" s="1"/>
  <c r="J124" i="6"/>
  <c r="K124" i="6" s="1"/>
  <c r="J123" i="6"/>
  <c r="K123" i="6" s="1"/>
  <c r="J119" i="6"/>
  <c r="K119" i="6" s="1"/>
  <c r="J118" i="6"/>
  <c r="K118" i="6" s="1"/>
  <c r="J117" i="6"/>
  <c r="K117" i="6" s="1"/>
  <c r="J116" i="6"/>
  <c r="K116" i="6" s="1"/>
  <c r="J115" i="6"/>
  <c r="K115" i="6" s="1"/>
  <c r="J114" i="6"/>
  <c r="K114" i="6" s="1"/>
  <c r="K113" i="6"/>
  <c r="K112" i="6"/>
  <c r="J111" i="6"/>
  <c r="K111" i="6" s="1"/>
  <c r="K110" i="6"/>
  <c r="J109" i="6"/>
  <c r="K109" i="6" s="1"/>
  <c r="K108" i="6"/>
  <c r="K107" i="6"/>
  <c r="J106" i="6"/>
  <c r="K106" i="6" s="1"/>
  <c r="J105" i="6"/>
  <c r="K105" i="6" s="1"/>
  <c r="K104" i="6"/>
  <c r="J103" i="6"/>
  <c r="K103" i="6" s="1"/>
  <c r="J102" i="6"/>
  <c r="K102" i="6" s="1"/>
  <c r="J101" i="6"/>
  <c r="K101" i="6" s="1"/>
  <c r="J100" i="6"/>
  <c r="K100" i="6" s="1"/>
  <c r="J99" i="6"/>
  <c r="K99" i="6" s="1"/>
  <c r="J98" i="6"/>
  <c r="K98" i="6" s="1"/>
  <c r="J97" i="6"/>
  <c r="K97" i="6" s="1"/>
  <c r="J96" i="6"/>
  <c r="K96" i="6" s="1"/>
  <c r="J95" i="6"/>
  <c r="K95" i="6" s="1"/>
  <c r="J94" i="6"/>
  <c r="K94" i="6" s="1"/>
  <c r="J93" i="6"/>
  <c r="K93" i="6" s="1"/>
  <c r="K92" i="6"/>
  <c r="J91" i="6"/>
  <c r="K91" i="6" s="1"/>
  <c r="J90" i="6"/>
  <c r="K90" i="6" s="1"/>
  <c r="J89" i="6"/>
  <c r="K89" i="6" s="1"/>
  <c r="J88" i="6"/>
  <c r="K88" i="6" s="1"/>
  <c r="J87" i="6"/>
  <c r="K87" i="6" s="1"/>
  <c r="J86" i="6"/>
  <c r="K86" i="6" s="1"/>
  <c r="J85" i="6"/>
  <c r="K85" i="6" s="1"/>
  <c r="J84" i="6"/>
  <c r="K84" i="6" s="1"/>
  <c r="J83" i="6"/>
  <c r="K83" i="6" s="1"/>
  <c r="J82" i="6"/>
  <c r="K82" i="6" s="1"/>
  <c r="J81" i="6"/>
  <c r="K81" i="6" s="1"/>
  <c r="J80" i="6"/>
  <c r="K80" i="6" s="1"/>
  <c r="J79" i="6"/>
  <c r="K79" i="6" s="1"/>
  <c r="J78" i="6"/>
  <c r="K78" i="6" s="1"/>
  <c r="J77" i="6"/>
  <c r="K77" i="6" s="1"/>
  <c r="J76" i="6"/>
  <c r="K76" i="6" s="1"/>
  <c r="J75" i="6"/>
  <c r="K75" i="6" s="1"/>
  <c r="J74" i="6"/>
  <c r="K74" i="6" s="1"/>
  <c r="J73" i="6"/>
  <c r="K73" i="6" s="1"/>
  <c r="J72" i="6"/>
  <c r="K72" i="6" s="1"/>
  <c r="J71" i="6"/>
  <c r="K71" i="6" s="1"/>
  <c r="J70" i="6"/>
  <c r="K70" i="6" s="1"/>
  <c r="J69" i="6"/>
  <c r="K69" i="6" s="1"/>
  <c r="J68" i="6"/>
  <c r="K68" i="6" s="1"/>
  <c r="J67" i="6"/>
  <c r="K67" i="6" s="1"/>
  <c r="J66" i="6"/>
  <c r="K66" i="6" s="1"/>
  <c r="J65" i="6"/>
  <c r="K65" i="6" s="1"/>
  <c r="J64" i="6"/>
  <c r="K64" i="6" s="1"/>
  <c r="J63" i="6"/>
  <c r="K63" i="6" s="1"/>
  <c r="J62" i="6"/>
  <c r="K62" i="6" s="1"/>
  <c r="J61" i="6"/>
  <c r="K61" i="6" s="1"/>
  <c r="J60" i="6"/>
  <c r="K60" i="6" s="1"/>
  <c r="J59" i="6"/>
  <c r="K59" i="6" s="1"/>
  <c r="J58" i="6"/>
  <c r="K58" i="6" s="1"/>
  <c r="J57" i="6"/>
  <c r="K57" i="6" s="1"/>
  <c r="J56" i="6"/>
  <c r="K56" i="6" s="1"/>
  <c r="K54" i="6"/>
  <c r="J53" i="6"/>
  <c r="K53" i="6" s="1"/>
  <c r="J52" i="6"/>
  <c r="K52" i="6" s="1"/>
  <c r="J49" i="6"/>
  <c r="K49" i="6" s="1"/>
  <c r="J48" i="6"/>
  <c r="K48" i="6" s="1"/>
  <c r="J47" i="6"/>
  <c r="K47" i="6" s="1"/>
  <c r="K46" i="6"/>
  <c r="J45" i="6"/>
  <c r="K45" i="6" s="1"/>
  <c r="J44" i="6"/>
  <c r="K44" i="6" s="1"/>
  <c r="J43" i="6"/>
  <c r="K43" i="6" s="1"/>
  <c r="J42" i="6"/>
  <c r="K42" i="6" s="1"/>
  <c r="J41" i="6"/>
  <c r="K41" i="6" s="1"/>
  <c r="J40" i="6"/>
  <c r="K40" i="6" s="1"/>
  <c r="K39" i="6"/>
  <c r="J38" i="6"/>
  <c r="K38" i="6" s="1"/>
  <c r="J37" i="6"/>
  <c r="K37" i="6" s="1"/>
  <c r="J36" i="6"/>
  <c r="K36" i="6" s="1"/>
  <c r="K33" i="6"/>
  <c r="K32" i="6"/>
  <c r="K31" i="6"/>
  <c r="K27" i="6"/>
  <c r="K26" i="6"/>
  <c r="J25" i="6"/>
  <c r="K25" i="6" s="1"/>
  <c r="J24" i="6"/>
  <c r="K24" i="6" s="1"/>
  <c r="J23" i="6"/>
  <c r="K23" i="6" s="1"/>
  <c r="J22" i="6"/>
  <c r="K22" i="6" s="1"/>
  <c r="J21" i="6"/>
  <c r="K21" i="6" s="1"/>
  <c r="J20" i="6"/>
  <c r="K20" i="6" s="1"/>
  <c r="J19" i="6"/>
  <c r="K19" i="6" s="1"/>
  <c r="J18" i="6"/>
  <c r="K18" i="6" s="1"/>
  <c r="J15" i="6"/>
  <c r="K15" i="6" s="1"/>
  <c r="K13" i="6"/>
  <c r="K12" i="6"/>
  <c r="J11" i="6"/>
  <c r="K11" i="6" s="1"/>
  <c r="J10" i="6"/>
  <c r="K10" i="6" s="1"/>
  <c r="J9" i="6"/>
  <c r="K9" i="6" s="1"/>
  <c r="J6" i="6"/>
  <c r="K6" i="6" s="1"/>
  <c r="J5" i="6"/>
  <c r="K5" i="6" s="1"/>
  <c r="E10" i="18"/>
  <c r="G194" i="6" l="1"/>
  <c r="F68" i="7"/>
  <c r="E11" i="18"/>
  <c r="E9" i="18" s="1"/>
  <c r="H6" i="18" s="1"/>
  <c r="E37" i="18"/>
  <c r="E35" i="18"/>
  <c r="E40" i="18"/>
  <c r="E31" i="18"/>
  <c r="H16" i="18" s="1"/>
  <c r="E23" i="18"/>
  <c r="H14" i="18" s="1"/>
  <c r="E8" i="13"/>
  <c r="H8" i="18" s="1"/>
  <c r="E21" i="18"/>
  <c r="H13" i="18" s="1"/>
  <c r="H8" i="5"/>
  <c r="I8" i="5" s="1"/>
  <c r="F16" i="5" s="1"/>
  <c r="E20" i="18" s="1"/>
  <c r="H12" i="18" s="1"/>
  <c r="F15" i="5"/>
  <c r="E19" i="18" s="1"/>
  <c r="H11" i="18" s="1"/>
  <c r="H5" i="5"/>
  <c r="E15" i="18"/>
  <c r="E34" i="18" l="1"/>
  <c r="H19" i="18" s="1"/>
  <c r="F13" i="5"/>
  <c r="E17" i="18" s="1"/>
  <c r="H9" i="18" s="1"/>
  <c r="H20" i="18" s="1"/>
</calcChain>
</file>

<file path=xl/sharedStrings.xml><?xml version="1.0" encoding="utf-8"?>
<sst xmlns="http://schemas.openxmlformats.org/spreadsheetml/2006/main" count="3069" uniqueCount="1276">
  <si>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</si>
  <si>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</si>
  <si>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</si>
  <si>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</si>
  <si>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</si>
  <si>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</si>
  <si>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</si>
  <si>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</si>
  <si>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</si>
  <si>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</si>
  <si>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</si>
  <si>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</si>
  <si>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</si>
  <si>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</si>
  <si>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</si>
  <si>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</si>
  <si>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</si>
  <si>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</si>
  <si>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</si>
  <si>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</si>
  <si>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</si>
  <si>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</si>
  <si>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</si>
  <si>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</si>
  <si>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</si>
  <si>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</si>
  <si>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</si>
  <si>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</si>
  <si>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</si>
  <si>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</si>
  <si>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</si>
  <si>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</si>
  <si>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</si>
  <si>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</si>
  <si>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</si>
  <si>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</si>
  <si>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</si>
  <si>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</si>
  <si>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</si>
  <si>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</si>
  <si>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</si>
  <si>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</si>
  <si>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</si>
  <si>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</si>
  <si>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</si>
  <si>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</si>
  <si>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</si>
  <si>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</si>
  <si>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</si>
  <si>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</si>
  <si>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</si>
  <si>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</si>
  <si>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</si>
  <si>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</si>
  <si>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D3</t>
  </si>
  <si>
    <t>Water rates</t>
  </si>
  <si>
    <t>D4</t>
  </si>
  <si>
    <t>N/A</t>
  </si>
  <si>
    <t>Council tax</t>
  </si>
  <si>
    <t>D5</t>
  </si>
  <si>
    <t>Insurance</t>
  </si>
  <si>
    <t>D6</t>
  </si>
  <si>
    <t>Fuel</t>
  </si>
  <si>
    <t>D7</t>
  </si>
  <si>
    <t>House maintenance</t>
  </si>
  <si>
    <t>Decorating and other house maintenance</t>
  </si>
  <si>
    <t>SFP</t>
  </si>
  <si>
    <t>PPens</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</si>
  <si>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</si>
  <si>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</si>
  <si>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</si>
  <si>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</si>
  <si>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</si>
  <si>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</si>
  <si>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</si>
  <si>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</si>
  <si>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</si>
  <si>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</si>
  <si>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</si>
  <si>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</si>
  <si>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</si>
  <si>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</si>
  <si>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</si>
  <si>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</si>
  <si>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</si>
  <si>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</si>
  <si>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</si>
  <si>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</si>
  <si>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</si>
  <si>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</si>
  <si>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</si>
  <si>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</si>
  <si>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</si>
  <si>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</si>
  <si>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</si>
  <si>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</si>
  <si>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</si>
  <si>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</si>
  <si>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</si>
  <si>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</si>
  <si>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</si>
  <si>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</si>
  <si>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</si>
  <si>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</si>
  <si>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</si>
  <si>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</si>
  <si>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</si>
  <si>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</si>
  <si>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</si>
  <si>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</si>
  <si>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</si>
  <si>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</si>
  <si>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</si>
  <si>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</si>
  <si>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</si>
  <si>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</si>
  <si>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</si>
  <si>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</si>
  <si>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</si>
  <si>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</si>
  <si>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</si>
  <si>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</si>
  <si>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</si>
  <si>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</si>
  <si>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</si>
  <si>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</si>
  <si>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</si>
  <si>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</si>
  <si>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</si>
  <si>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</si>
  <si>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</si>
  <si>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</si>
  <si>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</si>
  <si>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</si>
  <si>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</si>
  <si>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</si>
  <si>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</si>
  <si>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</si>
  <si>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</si>
  <si>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</si>
  <si>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</si>
  <si>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</si>
  <si>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</si>
  <si>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</si>
  <si>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</si>
  <si>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</si>
  <si>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</si>
  <si>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</si>
  <si>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</si>
  <si>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</si>
  <si>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</si>
  <si>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</si>
  <si>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</si>
  <si>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</si>
  <si>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</si>
  <si>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</si>
  <si>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</si>
  <si>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</si>
  <si>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</si>
  <si>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</si>
  <si>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</si>
  <si>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</si>
  <si>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</si>
  <si>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</si>
  <si>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</si>
  <si>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</si>
  <si>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</si>
  <si>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</si>
  <si>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</si>
  <si>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</si>
  <si>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</si>
  <si>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</si>
  <si>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</si>
  <si>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</si>
  <si>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</si>
  <si>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</si>
  <si>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</si>
  <si>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</si>
  <si>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</si>
  <si>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</si>
  <si>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</si>
  <si>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</si>
  <si>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</si>
  <si>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</si>
  <si>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</si>
  <si>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</si>
  <si>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</si>
  <si>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</si>
  <si>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</si>
  <si>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</si>
  <si>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</si>
  <si>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</si>
  <si>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</si>
  <si>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</si>
  <si>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</si>
  <si>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</si>
  <si>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</si>
  <si>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</si>
  <si>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</si>
  <si>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</si>
  <si>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</si>
  <si>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</si>
  <si>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</si>
  <si>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</si>
  <si>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</si>
  <si>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</si>
  <si>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</si>
  <si>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</si>
  <si>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</si>
  <si>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</si>
  <si>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</si>
  <si>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</si>
  <si>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</si>
  <si>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</si>
  <si>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</si>
  <si>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</si>
  <si>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</si>
  <si>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</si>
  <si>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</si>
  <si>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</si>
  <si>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</si>
  <si>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</si>
  <si>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</si>
  <si>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</si>
  <si>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</si>
  <si>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</si>
  <si>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</si>
  <si>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</si>
  <si>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</si>
  <si>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</si>
  <si>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</si>
  <si>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</si>
  <si>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</si>
  <si>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</si>
  <si>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</si>
  <si>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</si>
  <si>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</si>
  <si>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</si>
  <si>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</si>
  <si>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</si>
  <si>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</si>
  <si>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</si>
  <si>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</si>
  <si>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</si>
  <si>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</si>
  <si>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</si>
  <si>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</si>
  <si>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</si>
  <si>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</si>
  <si>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</si>
  <si>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</si>
  <si>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</si>
  <si>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</si>
  <si>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</si>
  <si>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</si>
  <si>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</si>
  <si>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</si>
  <si>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</si>
  <si>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</si>
  <si>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</si>
  <si>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</si>
  <si>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</si>
  <si>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</si>
  <si>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</si>
  <si>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</si>
  <si>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</si>
  <si>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</si>
  <si>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</si>
  <si>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</si>
  <si>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</si>
  <si>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</si>
  <si>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</si>
  <si>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</si>
  <si>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</si>
  <si>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</si>
  <si>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</si>
  <si>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</si>
  <si>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</si>
  <si>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</si>
  <si>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</si>
  <si>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</si>
  <si>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</si>
  <si>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</si>
  <si>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</si>
  <si>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</si>
  <si>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</si>
  <si>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</si>
  <si>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</si>
  <si>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</si>
  <si>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</si>
  <si>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</si>
  <si>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</si>
  <si>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</si>
  <si>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</si>
  <si>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</si>
  <si>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</si>
  <si>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</si>
  <si>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</si>
  <si>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</si>
  <si>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</si>
  <si>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</si>
  <si>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</si>
  <si>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</si>
  <si>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</si>
  <si>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</si>
  <si>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</si>
  <si>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</si>
  <si>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</si>
  <si>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</si>
  <si>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</si>
  <si>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</si>
  <si>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</si>
  <si>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</si>
  <si>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</si>
  <si>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</si>
  <si>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</si>
  <si>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</si>
  <si>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</si>
  <si>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</si>
  <si>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</si>
  <si>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</si>
  <si>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</si>
  <si>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</si>
  <si>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</si>
  <si>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</si>
  <si>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</si>
  <si>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</si>
  <si>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</si>
  <si>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</si>
  <si>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</si>
  <si>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</si>
  <si>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</si>
  <si>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</si>
  <si>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</si>
  <si>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</si>
  <si>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</si>
  <si>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</si>
  <si>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</si>
  <si>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</si>
  <si>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</si>
  <si>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</si>
  <si>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</si>
  <si>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</si>
  <si>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</si>
  <si>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</si>
  <si>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</si>
  <si>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</si>
  <si>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</si>
  <si>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</si>
  <si>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Trays</t>
  </si>
  <si>
    <t>CB4 added washable spray mop refill replaced every 2 years</t>
  </si>
  <si>
    <t>CB4 added in line with singles: Spy hole, 20 years.</t>
  </si>
  <si>
    <t>Homebase</t>
  </si>
  <si>
    <t>Standard Hat &amp; Coat Hook - 6 Hooks</t>
  </si>
  <si>
    <t xml:space="preserve">Living area </t>
  </si>
  <si>
    <t>Sofa (3 seater)</t>
  </si>
  <si>
    <t xml:space="preserve">CB4 added in line with Ppens: Half-height bookcase. Solid (not flat pack) and matching the side tables. Lasting 20 years. </t>
  </si>
  <si>
    <t>Storage unit  that TV can go on. DFS mid range to hold weight of TV - solid. 30 years. CB4 changed lifetime to 20 years</t>
  </si>
  <si>
    <t>8x dinner plates, side plates, bowls. lasting 10 years. Argos/Amazon/Ikea/supermarket/Dunelm. Cheapest okay. Cb4 reduced ot 5 years in line with singles</t>
  </si>
  <si>
    <t>8 mugs, lasting 5 years. Argos/Amazon/Ikea/supermarket/Dunelm. Cheapest okay</t>
  </si>
  <si>
    <t>Salt and pepper cruet. 20 years. Argos/Amazon/Ikea/supermarket/Dunelm.</t>
  </si>
  <si>
    <t>CB4 added in line wth singles: Ceramic gravy boat, Argos, Supermarket, 20 years</t>
  </si>
  <si>
    <t>Paper napkins. Cheap pack of 100. Lasting 1 year</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</si>
  <si>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</si>
  <si>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</si>
  <si>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Mid-range Supermarket quality, Supermarket, 6 years</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</si>
  <si>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</si>
  <si>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</si>
  <si>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</si>
  <si>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</si>
  <si>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</si>
  <si>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</si>
  <si>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</si>
  <si>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</si>
  <si>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</si>
  <si>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</si>
  <si>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</si>
  <si>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</si>
  <si>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</si>
  <si>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</si>
  <si>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</si>
  <si>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</si>
  <si>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</si>
  <si>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</si>
  <si>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</si>
  <si>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</si>
  <si>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</si>
  <si>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</si>
  <si>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</si>
  <si>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</si>
  <si>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</si>
  <si>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</si>
  <si>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</si>
  <si>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</si>
  <si>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</si>
  <si>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</si>
  <si>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</si>
  <si>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</si>
  <si>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</si>
  <si>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</si>
  <si>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</si>
  <si>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</si>
  <si>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</si>
  <si>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</si>
  <si>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</si>
  <si>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</si>
  <si>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</si>
  <si>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</si>
  <si>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</si>
  <si>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</si>
  <si>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</si>
  <si>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</si>
  <si>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</si>
  <si>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</si>
  <si>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Medicine cabinet with mirror, B&amp;Q, 20 years</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</si>
  <si>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</si>
  <si>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</si>
  <si>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</si>
  <si>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</si>
  <si>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</si>
  <si>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</si>
  <si>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</si>
  <si>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</si>
  <si>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</si>
  <si>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</si>
  <si>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</si>
  <si>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</si>
  <si>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</si>
  <si>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</si>
  <si>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</si>
  <si>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</si>
  <si>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</si>
  <si>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</si>
  <si>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Added but no other info provided. CB4 said 10 years.</t>
  </si>
  <si>
    <t>Bedroom 2</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</si>
  <si>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</si>
  <si>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</si>
  <si>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</si>
  <si>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Mattress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</si>
  <si>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</si>
  <si>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</si>
  <si>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</si>
  <si>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</si>
  <si>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</si>
  <si>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</si>
  <si>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</si>
  <si>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</si>
  <si>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</si>
  <si>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</si>
  <si>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</si>
  <si>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</si>
  <si>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</si>
  <si>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</si>
  <si>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</si>
  <si>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</si>
  <si>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</si>
  <si>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</si>
  <si>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</si>
  <si>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</si>
  <si>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</si>
  <si>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</si>
  <si>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</si>
  <si>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</si>
  <si>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</si>
  <si>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</si>
  <si>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</si>
  <si>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</si>
  <si>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</si>
  <si>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</si>
  <si>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</si>
  <si>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</si>
  <si>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</si>
  <si>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</si>
  <si>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</si>
  <si>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</si>
  <si>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</si>
  <si>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</si>
  <si>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</si>
  <si>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</si>
  <si>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</si>
  <si>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</si>
  <si>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</si>
  <si>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</si>
  <si>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Personal care, female</t>
  </si>
  <si>
    <t>Hairdressing, female</t>
  </si>
  <si>
    <t>Boots</t>
  </si>
  <si>
    <t xml:space="preserve">Remington Power Dry Hairdryer D3010 </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</si>
  <si>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</si>
  <si>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</si>
  <si>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</si>
  <si>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</si>
  <si>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</si>
  <si>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</si>
  <si>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</si>
  <si>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</si>
  <si>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</si>
  <si>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</si>
  <si>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</si>
  <si>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</si>
  <si>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</si>
  <si>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</si>
  <si>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</si>
  <si>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</si>
  <si>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</si>
  <si>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</si>
  <si>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</si>
  <si>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</si>
  <si>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</si>
  <si>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</si>
  <si>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</si>
  <si>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</si>
  <si>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</si>
  <si>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</si>
  <si>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</si>
  <si>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</si>
  <si>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</si>
  <si>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</si>
  <si>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</si>
  <si>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</si>
  <si>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</si>
  <si>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</si>
  <si>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</si>
  <si>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</si>
  <si>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</si>
  <si>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</si>
  <si>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</si>
  <si>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</si>
  <si>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</si>
  <si>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</si>
  <si>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</si>
  <si>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</si>
  <si>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</si>
  <si>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</si>
  <si>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</si>
  <si>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</si>
  <si>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</si>
  <si>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</si>
  <si>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</si>
  <si>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</si>
  <si>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</si>
  <si>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</si>
  <si>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</si>
  <si>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</si>
  <si>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</si>
  <si>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</si>
  <si>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</si>
  <si>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</si>
  <si>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</si>
  <si>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 xml:space="preserve">CB3 added: Hairdryer, Boots brand e.g Charles Worthington, 12 years. CB3 changed lifetime to 10 years. </t>
  </si>
  <si>
    <t>Tena pads</t>
  </si>
  <si>
    <t>Tena Men Pads 10 Pack</t>
  </si>
  <si>
    <t>Shower gel, replace monthly</t>
  </si>
  <si>
    <t>Razor with changeable blades. Handle lasts 5 years.</t>
  </si>
  <si>
    <t>1 blade per week</t>
  </si>
  <si>
    <t>Shaving foam, replace every 2 months</t>
  </si>
  <si>
    <t>1 tube of toothpaste every month</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</si>
  <si>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</si>
  <si>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</si>
  <si>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</si>
  <si>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</si>
  <si>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</si>
  <si>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</si>
  <si>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</si>
  <si>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</si>
  <si>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CB4 added rucksack. Chespest okay, 4 years</t>
  </si>
  <si>
    <t>Rockport bacpack (range of colours)</t>
  </si>
  <si>
    <t>Personal care, household</t>
  </si>
  <si>
    <t>1 toilet roll per week. CB3 changed to 2 rolls per week. CB4 changed to 4 rolls replaced weekly for couples</t>
  </si>
  <si>
    <t xml:space="preserve">CB4 added in line with singles: Hairdryer, Boots brand e.g Charles Worthington, 12 years. CB3 changed lifetime to 10 years. </t>
  </si>
  <si>
    <t xml:space="preserve">CB4 added shaving foam for women in line with men. Lifetime not discussed. 2 months for now in line with SMP. FG3 said 6 months </t>
  </si>
  <si>
    <t>Hairdressing, male</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</si>
  <si>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</si>
  <si>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</si>
  <si>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</si>
  <si>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</si>
  <si>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Accessories male</t>
  </si>
  <si>
    <t>G: Transport</t>
  </si>
  <si>
    <t>Passenger transport by road</t>
  </si>
  <si>
    <t>Rail fares</t>
  </si>
  <si>
    <t>G</t>
  </si>
  <si>
    <t>Passenger transport by railway</t>
  </si>
  <si>
    <t>Rail card</t>
  </si>
  <si>
    <t>National Rail</t>
  </si>
  <si>
    <t>Senior Railcard. £70 for 3 years (all rail fares a third off)</t>
  </si>
  <si>
    <t>Senior Rail Card (3 years)</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</si>
  <si>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</si>
  <si>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</si>
  <si>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</si>
  <si>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</si>
  <si>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</si>
  <si>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</si>
  <si>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</si>
  <si>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</si>
  <si>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</si>
  <si>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</si>
  <si>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</si>
  <si>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</si>
  <si>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</si>
  <si>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</si>
  <si>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</si>
  <si>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</si>
  <si>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</si>
  <si>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</si>
  <si>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</si>
  <si>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</si>
  <si>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</si>
  <si>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</si>
  <si>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</si>
  <si>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</si>
  <si>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</si>
  <si>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</si>
  <si>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</si>
  <si>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H6</t>
  </si>
  <si>
    <t>Leisure services</t>
  </si>
  <si>
    <t>Passport</t>
  </si>
  <si>
    <t>Holiday</t>
  </si>
  <si>
    <t xml:space="preserve">Costed as paper application from the post office </t>
  </si>
  <si>
    <t>Photographs</t>
  </si>
  <si>
    <t>Tesco Max Spielmann</t>
  </si>
  <si>
    <t>photo booth £6 (costed at Max Spielmann at Tesco)</t>
  </si>
  <si>
    <t>Landline telephone</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</si>
  <si>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</si>
  <si>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</si>
  <si>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</si>
  <si>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</si>
  <si>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</si>
  <si>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</si>
  <si>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</si>
  <si>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</si>
  <si>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</si>
  <si>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</si>
  <si>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</si>
  <si>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</si>
  <si>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</si>
  <si>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</si>
  <si>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</si>
  <si>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</si>
  <si>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</si>
  <si>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</si>
  <si>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</si>
  <si>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</si>
  <si>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</si>
  <si>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</si>
  <si>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</si>
  <si>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</si>
  <si>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</si>
  <si>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</si>
  <si>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</si>
  <si>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</si>
  <si>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</si>
  <si>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</si>
  <si>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Tesco British Semi Skimmed Milk 2.272L 4 Pints</t>
  </si>
  <si>
    <t>1.5l</t>
  </si>
  <si>
    <t>1l</t>
  </si>
  <si>
    <t>Tesco Pure Orange Juice Smooth 1 Litre</t>
  </si>
  <si>
    <t>Warburtons</t>
  </si>
  <si>
    <t>Other high fibre breakfast cereals</t>
  </si>
  <si>
    <t>Weetabix</t>
  </si>
  <si>
    <t>Bread, Best of both, wholemeal</t>
  </si>
  <si>
    <t>Creamfields</t>
  </si>
  <si>
    <t>220g</t>
  </si>
  <si>
    <t>Olive oil</t>
  </si>
  <si>
    <t>Tesco Olive Oil 1L</t>
  </si>
  <si>
    <t>500g</t>
  </si>
  <si>
    <t>Marmalade</t>
  </si>
  <si>
    <t>454g</t>
  </si>
  <si>
    <t>30 g</t>
  </si>
  <si>
    <t>Plain digestives</t>
  </si>
  <si>
    <t>Apples, whole weight</t>
  </si>
  <si>
    <t>180g</t>
  </si>
  <si>
    <t>280 g</t>
  </si>
  <si>
    <t>1kg</t>
  </si>
  <si>
    <t>150 g</t>
  </si>
  <si>
    <t>Beef mince, raw weight</t>
  </si>
  <si>
    <t>Carrots, frozen</t>
  </si>
  <si>
    <t>250g</t>
  </si>
  <si>
    <t>700g</t>
  </si>
  <si>
    <t>Tesco Salad Tomatoes 6 Pack net weight 360g</t>
  </si>
  <si>
    <t>2.5kg</t>
  </si>
  <si>
    <t>100g</t>
  </si>
  <si>
    <t>900g</t>
  </si>
  <si>
    <t>60 g</t>
  </si>
  <si>
    <t>Peas, frozen</t>
  </si>
  <si>
    <t>Tesco Garden Peas 1kg</t>
  </si>
  <si>
    <t>Broccoli, frozen</t>
  </si>
  <si>
    <t>170 g</t>
  </si>
  <si>
    <t>Cauliflower, frozen</t>
  </si>
  <si>
    <t>Sweetcorn, frozen</t>
  </si>
  <si>
    <t>3g</t>
  </si>
  <si>
    <t>Tesco Bay Leaves 3g (pack says 15 servings)</t>
  </si>
  <si>
    <t>18g</t>
  </si>
  <si>
    <t>Black pepper</t>
  </si>
  <si>
    <t>Tomato puree</t>
  </si>
  <si>
    <t>150ml</t>
  </si>
  <si>
    <t>Tinned tomatoes</t>
  </si>
  <si>
    <t>400g</t>
  </si>
  <si>
    <t>Tesco Bolognese Pasta Sauce Jar 500g</t>
  </si>
  <si>
    <t>Hearty Food Co.</t>
  </si>
  <si>
    <t>440g</t>
  </si>
  <si>
    <t>Custard powder</t>
  </si>
  <si>
    <t>Birds</t>
  </si>
  <si>
    <t>350g</t>
  </si>
  <si>
    <t>50 g</t>
  </si>
  <si>
    <t>1.5kg</t>
  </si>
  <si>
    <t>Food delivery</t>
  </si>
  <si>
    <t>Xmas food &amp; drink</t>
  </si>
  <si>
    <t>£50 per household</t>
  </si>
  <si>
    <t>A2</t>
  </si>
  <si>
    <t>Eating out</t>
  </si>
  <si>
    <t>Takeaway</t>
  </si>
  <si>
    <t>Flora</t>
  </si>
  <si>
    <t>Creamfields Berry Medley Low Fat Yogurt 6x125g</t>
  </si>
  <si>
    <t>130g</t>
  </si>
  <si>
    <t>Satsumas, weight with peel</t>
  </si>
  <si>
    <t>250 g</t>
  </si>
  <si>
    <t>Ham</t>
  </si>
  <si>
    <t>Mayonnaise, light, reduced fat</t>
  </si>
  <si>
    <t>Cucumber</t>
  </si>
  <si>
    <t>Spring onions</t>
  </si>
  <si>
    <t>Potatoes, old</t>
  </si>
  <si>
    <t>Gravy Granules</t>
  </si>
  <si>
    <t>Tesco Chicken Gravy Granules 200g</t>
  </si>
  <si>
    <t>38ml</t>
  </si>
  <si>
    <t>Silver Spoon</t>
  </si>
  <si>
    <t>135 g</t>
  </si>
  <si>
    <t>900ml</t>
  </si>
  <si>
    <t>10 x 20 g Weetbix (200 g)</t>
  </si>
  <si>
    <t>Weetabix Cereal 24 Pack</t>
  </si>
  <si>
    <t>Semi Skimmed Milk</t>
  </si>
  <si>
    <t>2272ml</t>
  </si>
  <si>
    <t>4130 ml plus 300ml for visitors 4430ml</t>
  </si>
  <si>
    <t>29  slices (1102 g)</t>
  </si>
  <si>
    <t>Flora spread, light, reduced fat</t>
  </si>
  <si>
    <t>424 g</t>
  </si>
  <si>
    <t>Jam, Fruit with edible seeds</t>
  </si>
  <si>
    <t>Tesco Strawberry Jam 454g</t>
  </si>
  <si>
    <t>28 tsp (140 g)</t>
  </si>
  <si>
    <t>Orange Juice, carton, made from concentrate</t>
  </si>
  <si>
    <t>2240 ml</t>
  </si>
  <si>
    <t>Bacon, middle rashers, raw</t>
  </si>
  <si>
    <t>8 rashers (280 g)</t>
  </si>
  <si>
    <t>Croissant, plain</t>
  </si>
  <si>
    <t>2 x 75 g croissants (150 g)</t>
  </si>
  <si>
    <t>Tesco All Butter Croissant 2 Pack</t>
  </si>
  <si>
    <t>Yoghurt, low fat fruit</t>
  </si>
  <si>
    <t>6 x 125 g pots</t>
  </si>
  <si>
    <t>Banana, weight with skin</t>
  </si>
  <si>
    <t>10 medium (1580 g)</t>
  </si>
  <si>
    <t>Bananas Loose 14p each (£0.78/kg)</t>
  </si>
  <si>
    <t>Muesli, no sugar</t>
  </si>
  <si>
    <t>65 g</t>
  </si>
  <si>
    <t>Tesco No Added Sugar Swiss Style Muesli 1kg</t>
  </si>
  <si>
    <t>Eggs large</t>
  </si>
  <si>
    <t>Free Range Ethical Eggs Company</t>
  </si>
  <si>
    <t>10 large eggs (610 g)</t>
  </si>
  <si>
    <t>Pork Sausages, thick, raw</t>
  </si>
  <si>
    <t>2 thick sausages (114 g}</t>
  </si>
  <si>
    <t>12 Tbsp (180 ml)</t>
  </si>
  <si>
    <t>Mushrooms, frozen, raw</t>
  </si>
  <si>
    <t>320 g</t>
  </si>
  <si>
    <t>Tesco Sliced Mushrooms 500g</t>
  </si>
  <si>
    <t>Kit Kat</t>
  </si>
  <si>
    <t>Nestle</t>
  </si>
  <si>
    <t>4 biscuits (2 fingers each) (82 g)</t>
  </si>
  <si>
    <t>Kit Kat 2 Finger Milk Chocolate 21 Pack 434.7g</t>
  </si>
  <si>
    <t>Mixed Nuts and Raisins</t>
  </si>
  <si>
    <t>20 x 14 g biscuits (280 g) plus 10 for visitors</t>
  </si>
  <si>
    <t>Tesco Digestive Biscuits 400g (contains 28 biscuits so 14.3g each)</t>
  </si>
  <si>
    <t>56 tea bags plus 10 for visitors</t>
  </si>
  <si>
    <t>6 medium apples (1044 g)</t>
  </si>
  <si>
    <t>Cooking apples</t>
  </si>
  <si>
    <t>2 x 170 g apples (340 g)</t>
  </si>
  <si>
    <t>Tesco Bramley Cooking Apples Loose</t>
  </si>
  <si>
    <t>Oatcakes</t>
  </si>
  <si>
    <t>11 x 11 g oatcakes (121 g)</t>
  </si>
  <si>
    <t>Cream cheese</t>
  </si>
  <si>
    <t>190 g</t>
  </si>
  <si>
    <t>Tesco Soft Cheese Plain Full Fat 200g</t>
  </si>
  <si>
    <t>Jam tart</t>
  </si>
  <si>
    <t>Mr Kipling</t>
  </si>
  <si>
    <t>4 x 34 g tarts (136 g) 2 for visitors</t>
  </si>
  <si>
    <t>Tesco Sweet Easy Peeler</t>
  </si>
  <si>
    <t>Pear, whole weight</t>
  </si>
  <si>
    <t>2 medium pears (320 g)</t>
  </si>
  <si>
    <t xml:space="preserve">Blueberries </t>
  </si>
  <si>
    <t>210g</t>
  </si>
  <si>
    <t xml:space="preserve">Onions </t>
  </si>
  <si>
    <t xml:space="preserve">12 small onions (792 g) </t>
  </si>
  <si>
    <t xml:space="preserve">Celery </t>
  </si>
  <si>
    <t>2 sticks (136 g)</t>
  </si>
  <si>
    <t xml:space="preserve">Spaghetti, dry weight </t>
  </si>
  <si>
    <t xml:space="preserve">156 g </t>
  </si>
  <si>
    <t>Tesco Quick Cook Spaghetti Pasta 500g</t>
  </si>
  <si>
    <t>764 g</t>
  </si>
  <si>
    <t>Tesco Sliced Carrots Peeled &amp; Cut 1kg (frozen)</t>
  </si>
  <si>
    <t xml:space="preserve">Leeks, fresh </t>
  </si>
  <si>
    <t>1 leek (280 g)</t>
  </si>
  <si>
    <t>Garlic cloves</t>
  </si>
  <si>
    <t>4 cloves (16 g}</t>
  </si>
  <si>
    <t>Stock cube</t>
  </si>
  <si>
    <t>2 stock cubes (12 g)</t>
  </si>
  <si>
    <t>Tesco 10 Chicken Stock Cubes 100g</t>
  </si>
  <si>
    <t>Bread rolls, standard, wholemeal</t>
  </si>
  <si>
    <t>Warburtons Wholemeal Rolls 6 Pack (assume freeze remainder)</t>
  </si>
  <si>
    <t>Squash, no sugar conc</t>
  </si>
  <si>
    <t>1540 ml (=28x55ml)</t>
  </si>
  <si>
    <t xml:space="preserve">Tesco Quadruple Strength Lemon Squash No Added Sugar 1.5L (100 servings) </t>
  </si>
  <si>
    <t xml:space="preserve">Tuna 1 x 180 g std tin in spring water </t>
  </si>
  <si>
    <t>2 medium 180 g tins (320 g)</t>
  </si>
  <si>
    <t xml:space="preserve">Tuna 1 x 100 g small tin in spring water </t>
  </si>
  <si>
    <t>2 small 100 g tins (100 g)</t>
  </si>
  <si>
    <t>292 g</t>
  </si>
  <si>
    <t>Lettuce, mixed leaf</t>
  </si>
  <si>
    <t>192 g</t>
  </si>
  <si>
    <t>Tomatoes</t>
  </si>
  <si>
    <t>8 small tomatoes (680 g)</t>
  </si>
  <si>
    <t>1.5 cucumbers (382 g)</t>
  </si>
  <si>
    <t xml:space="preserve"> Tesco Cucumber Whole Each</t>
  </si>
  <si>
    <t>Beetroot, cooked</t>
  </si>
  <si>
    <t>462g</t>
  </si>
  <si>
    <t>2 cooked beetroot (144 g)</t>
  </si>
  <si>
    <t>Tesco Whole Baby Beetroot Vinegar 710g (drained weight 462g) keeps 6 weeks in fridge</t>
  </si>
  <si>
    <t>Lamb Mince, raw weight</t>
  </si>
  <si>
    <t>Tesco British Lamb Mince 20% Fat 500g</t>
  </si>
  <si>
    <t>Plain flour, white</t>
  </si>
  <si>
    <t>81 g</t>
  </si>
  <si>
    <t>Tesco Plain Flour 1.5kg</t>
  </si>
  <si>
    <t>Bay leaves, dried</t>
  </si>
  <si>
    <t>2 leaves</t>
  </si>
  <si>
    <t>Mixed dried herbs</t>
  </si>
  <si>
    <t>1 tsp (0.8 g)</t>
  </si>
  <si>
    <t>Tesco Mixed Herbs 18g</t>
  </si>
  <si>
    <t>838 g</t>
  </si>
  <si>
    <t>Tesco All Rounder Potatoes 2.5kg</t>
  </si>
  <si>
    <t>Large potatoes, baking</t>
  </si>
  <si>
    <t>2 tsp (36 g)</t>
  </si>
  <si>
    <t>Tesco tomato Puree Tube 200g</t>
  </si>
  <si>
    <t>Worcestershire sauce</t>
  </si>
  <si>
    <t>2 tsp (12 g)</t>
  </si>
  <si>
    <t>510 g</t>
  </si>
  <si>
    <t>Tesco Broccoli &amp; Cauliflower Floret Mix 900G</t>
  </si>
  <si>
    <t>380 g</t>
  </si>
  <si>
    <t>180 g</t>
  </si>
  <si>
    <t>Tesco Supersweet Sweetcorn 1kg</t>
  </si>
  <si>
    <t>Salmon, frozen</t>
  </si>
  <si>
    <t>2 fillets, 1 packet (240 g)</t>
  </si>
  <si>
    <t>Tesco Wild Salmon Fillets 500g (typical fillet 100g)</t>
  </si>
  <si>
    <t>Rice, white long grain raw weight (600 g conversion factor 2.48)</t>
  </si>
  <si>
    <t>338 g</t>
  </si>
  <si>
    <t>Tesco Easy Cook Long Grain Rice 1kg</t>
  </si>
  <si>
    <t>Beans, frozen</t>
  </si>
  <si>
    <t>Tesco Fine Whole Green Beans 900g</t>
  </si>
  <si>
    <t>Caster sugar</t>
  </si>
  <si>
    <t>104 g</t>
  </si>
  <si>
    <t>Silver Spoon Caster Sugar 1kg</t>
  </si>
  <si>
    <t>Cream, single</t>
  </si>
  <si>
    <t>2 Tbsp (66 g)</t>
  </si>
  <si>
    <t xml:space="preserve">Tesco Fresh Single Cream 150ml </t>
  </si>
  <si>
    <t>37 g</t>
  </si>
  <si>
    <t>Bird's Traditional Custard Powder 350g</t>
  </si>
  <si>
    <t>7 slices (130 g)</t>
  </si>
  <si>
    <t>Tesco German Smoked Ham 130g</t>
  </si>
  <si>
    <t>6 spring onions (107 g)</t>
  </si>
  <si>
    <t>Tesco Bunched Spring Onions 100g</t>
  </si>
  <si>
    <t>Pickled onions</t>
  </si>
  <si>
    <t>2 small (50 g)</t>
  </si>
  <si>
    <t>Tesco Pickled Silverskin Onions 440g (drained weight 220g)</t>
  </si>
  <si>
    <t>Coleslaw, ready made</t>
  </si>
  <si>
    <t>Tesco Coleslaw 180g</t>
  </si>
  <si>
    <t>Tesco Lean Beef Steak Mince 5% Fat 250g</t>
  </si>
  <si>
    <t>227g</t>
  </si>
  <si>
    <t>1 small tin (200 g)</t>
  </si>
  <si>
    <t>Tesco Italian Chopped Tomatoes 227g</t>
  </si>
  <si>
    <t>Bolognese sauce, jar</t>
  </si>
  <si>
    <t>1/2 jar (250 g)</t>
  </si>
  <si>
    <t>25g</t>
  </si>
  <si>
    <t>0.2 g</t>
  </si>
  <si>
    <t>Tesco Ground Black Pepper 25g</t>
  </si>
  <si>
    <t xml:space="preserve">Green Pepper </t>
  </si>
  <si>
    <t>2 small peppers (286 g)</t>
  </si>
  <si>
    <t>Green Peppers Each Class 1</t>
  </si>
  <si>
    <t xml:space="preserve">Baked Beans </t>
  </si>
  <si>
    <t>1 large tin (420 g)</t>
  </si>
  <si>
    <t>Cod, frozen</t>
  </si>
  <si>
    <t>2 x 130 g fillets (1 packet)</t>
  </si>
  <si>
    <t>Tesco Cod Fillets 360g (pack says 4 servings)</t>
  </si>
  <si>
    <t>Cheese, reduced fat</t>
  </si>
  <si>
    <t>162 g</t>
  </si>
  <si>
    <t>Chips, frozen</t>
  </si>
  <si>
    <t>265 g</t>
  </si>
  <si>
    <t>Peaches, tin in juice</t>
  </si>
  <si>
    <t>410g</t>
  </si>
  <si>
    <t>Chicken, raw without skin</t>
  </si>
  <si>
    <t>2 medium fillets (260 g)</t>
  </si>
  <si>
    <t>Tesco 2 British Chicken Breast Fillets 300g</t>
  </si>
  <si>
    <t>Chicken, raw with skin and bone (270 g roasted = converstion factors: 0.58 weight change factor and waste</t>
  </si>
  <si>
    <t>1 whole chicken (1588 g)</t>
  </si>
  <si>
    <t>Tesco British Large Whole Chicken 1.5kg-1.9kg</t>
  </si>
  <si>
    <t>Curry sauce</t>
  </si>
  <si>
    <t>1 jar 440 g</t>
  </si>
  <si>
    <t xml:space="preserve">Red pepper </t>
  </si>
  <si>
    <t>1 medium pepper (192 g)</t>
  </si>
  <si>
    <t>Red Peppers Each Class 1</t>
  </si>
  <si>
    <t>Spinach frozen</t>
  </si>
  <si>
    <t>160 g</t>
  </si>
  <si>
    <t>Tesco Leaf Spinach 900g</t>
  </si>
  <si>
    <t>Seeded wholemeal roll</t>
  </si>
  <si>
    <t>2 x 60 g (2 out of 4 packet)</t>
  </si>
  <si>
    <t>Tesco Ancient Grain Rolls 4 Pack</t>
  </si>
  <si>
    <t>Mixed berries, frozen</t>
  </si>
  <si>
    <t>120 g</t>
  </si>
  <si>
    <t>Tesco Perfectly Imperfect Frozen Mixed Berry 1kg</t>
  </si>
  <si>
    <t>Beef, lean diced, raw</t>
  </si>
  <si>
    <t>Rice, short grain pudding</t>
  </si>
  <si>
    <t>Tesco Pudding Rice 500g</t>
  </si>
  <si>
    <t>Vanilla essence</t>
  </si>
  <si>
    <t>2 tsp 10 ml</t>
  </si>
  <si>
    <t>Nutmeg</t>
  </si>
  <si>
    <t>Shwartz</t>
  </si>
  <si>
    <t>32g</t>
  </si>
  <si>
    <t>2 tsp 1.2 g</t>
  </si>
  <si>
    <t>Schwartz Ground Nutmeg 32g</t>
  </si>
  <si>
    <t>Parsnips</t>
  </si>
  <si>
    <t>124 g</t>
  </si>
  <si>
    <t>Tesco Swede (Min weight 400g)</t>
  </si>
  <si>
    <t>Cabbage, frozen</t>
  </si>
  <si>
    <t>750g</t>
  </si>
  <si>
    <t>Paxo stuffing, packet mixture, dry weight</t>
  </si>
  <si>
    <t>Paxo</t>
  </si>
  <si>
    <t>170g</t>
  </si>
  <si>
    <t>1/5 packet (36 g)</t>
  </si>
  <si>
    <t>Paxo Sage &amp; Onion Stuffing Mix 170g</t>
  </si>
  <si>
    <t>Yorkshire pudding</t>
  </si>
  <si>
    <t>2 of 6 packet (2 x 30 g)</t>
  </si>
  <si>
    <t>Tesco 12 Yorkshire Puddings 220g (each pudding = 18g so would need to use 4)</t>
  </si>
  <si>
    <t>4 tsp 20 g</t>
  </si>
  <si>
    <t>Cranberry sauce, retail jar</t>
  </si>
  <si>
    <t>Tesco Cranberry Sauce 200g</t>
  </si>
  <si>
    <t>Tesco Cauliflower Florets 900G</t>
  </si>
  <si>
    <t>Vanilla ice-cream</t>
  </si>
  <si>
    <t>Mango frozen chunks</t>
  </si>
  <si>
    <t>Tesco Mango Chunks</t>
  </si>
  <si>
    <t>Almonds, flaked</t>
  </si>
  <si>
    <t>Tesco Toasted Flaked Almonds 100g</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</si>
  <si>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</si>
  <si>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</si>
  <si>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</si>
  <si>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</si>
  <si>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</si>
  <si>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</si>
  <si>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</si>
  <si>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</si>
  <si>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</si>
  <si>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</si>
  <si>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</si>
  <si>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</si>
  <si>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</si>
  <si>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Included in set above</t>
  </si>
  <si>
    <t>CB4 added descaler solution in line with PPens, 6 months (18 months for 30pack)</t>
  </si>
  <si>
    <t>CB4 added clingfilm. 30m lasting 6 months.</t>
  </si>
  <si>
    <t>Anti bacterial spray replaced every 6 weeks. CB4 reduced lifetime to monthly in line with singles</t>
  </si>
  <si>
    <t>CB4 added in line with singles: 4 needed, 'Fluffy' style, Dunelm,  5 years</t>
  </si>
  <si>
    <t xml:space="preserve"> From supermarket/Superdrug/Boots. Lasting 10 years. CB3 changed lifetime to 5 years for female</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</si>
  <si>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</si>
  <si>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</si>
  <si>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</si>
  <si>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</si>
  <si>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</si>
  <si>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</si>
  <si>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</si>
  <si>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</si>
  <si>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</si>
  <si>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</si>
  <si>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</si>
  <si>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</si>
  <si>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</si>
  <si>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</si>
  <si>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</si>
  <si>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</si>
  <si>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</si>
  <si>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</si>
  <si>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</si>
  <si>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</si>
  <si>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</si>
  <si>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</si>
  <si>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</si>
  <si>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</si>
  <si>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</si>
  <si>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</si>
  <si>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</si>
  <si>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</si>
  <si>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</si>
  <si>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</si>
  <si>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</si>
  <si>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</si>
  <si>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</si>
  <si>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</si>
  <si>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</si>
  <si>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</si>
  <si>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</si>
  <si>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</si>
  <si>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</si>
  <si>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</si>
  <si>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</si>
  <si>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</si>
  <si>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C clothing</t>
  </si>
  <si>
    <t>F Personal goods</t>
  </si>
  <si>
    <t>F Health</t>
  </si>
  <si>
    <t>G Transport</t>
  </si>
  <si>
    <t>Social and cultural participation</t>
  </si>
  <si>
    <t>Total</t>
  </si>
  <si>
    <t xml:space="preserve">Iceberg Lettuce Each 46p. </t>
  </si>
  <si>
    <t>50" smart TV for living room from John Lewis/Currys/Tesco. Lasting 8 years.</t>
  </si>
  <si>
    <t>LG 50UR78006LK 50" Smart 4K Ultra HD HDR LED TV</t>
  </si>
  <si>
    <t>Smart speaker for additional functionality and a source of company. 10 years</t>
  </si>
  <si>
    <t>14" laptop. Approx. £300. Lasting 5 years.</t>
  </si>
  <si>
    <t>LENOVO IdeaPad 1i 14" Laptop - Intel® Pentium® Silver, 128 GB eMMC, Blue</t>
  </si>
  <si>
    <t>Printer</t>
  </si>
  <si>
    <t>Scanner/printer/copier all in one, 3 years</t>
  </si>
  <si>
    <t xml:space="preserve">HP Plus DeskJet 2710e Inkjet Printer </t>
  </si>
  <si>
    <t>Ink cartridges</t>
  </si>
  <si>
    <t>HP</t>
  </si>
  <si>
    <t>Replacement ink cartridges. £2.99 monthly subscription gives 50 pages per month free and sends new cartridges automatically.</t>
  </si>
  <si>
    <t>HP Instant Ink Replacement Service.</t>
  </si>
  <si>
    <t>£200 per year for flowers/card/gifts for other occasions. For: weddings, new baby, christening, new home, new job, retirement gifts and cards etc.</t>
  </si>
  <si>
    <t>12 gifts of £30, inclduing gift wrap and cards = £360</t>
  </si>
  <si>
    <t>£200 a year for charitable donations</t>
  </si>
  <si>
    <t>£50 for an artificial 4ft Xmas tree and decorations (baubles, lights etc.), 10 years</t>
  </si>
  <si>
    <t>Costs £159/year.</t>
  </si>
  <si>
    <t>Virgin Media</t>
  </si>
  <si>
    <t>Broadband plus unlimited weekend calls to UK landlines</t>
  </si>
  <si>
    <t>Virgin Media, 54Mb avg speed, unlimited downloads, 18 month contract, no setup cost</t>
  </si>
  <si>
    <t>TV Subscription</t>
  </si>
  <si>
    <t>TV/Delivery subscription</t>
  </si>
  <si>
    <t>Amazon Prime</t>
  </si>
  <si>
    <t>£8.99 per month for Prime account.</t>
  </si>
  <si>
    <t>£40 per week for doing something 2 or 3 times per week depending on cost. Some activities could be free. E.g. theatre, cinema, swimming, gym, free exercise, craft/arts group, gardening, dance, pilates, choir, Tai Chi</t>
  </si>
  <si>
    <t>Gavimar Cala Gran Costa Del Sur, Majorica, 14 nights, all inclusive, departing Standsted airport, 1 June 2024, £1041.44pp</t>
  </si>
  <si>
    <t>14 days all inclusive, Mediterranean</t>
  </si>
  <si>
    <t>3 night city break, UK</t>
  </si>
  <si>
    <t>Bath City Centre Hotel, Premier Inn, 3 nights, 12-15 Sep, Standard room, pre-pay, £369</t>
  </si>
  <si>
    <t>UK Holidays</t>
  </si>
  <si>
    <t>Holiday- spending money</t>
  </si>
  <si>
    <t>300 spending money for UK city break</t>
  </si>
  <si>
    <t>Passport needed for identification purposes.</t>
  </si>
  <si>
    <t>For passport.</t>
  </si>
  <si>
    <t>£100 per year per person</t>
  </si>
  <si>
    <t>Car</t>
  </si>
  <si>
    <t>Ppens F</t>
  </si>
  <si>
    <t>Ppens M</t>
  </si>
  <si>
    <t>Clothing and footwear</t>
  </si>
  <si>
    <t>£1000 a year for clothing; £500 for footwear</t>
  </si>
  <si>
    <t>£500 a year for clothing; £500 for footwear</t>
  </si>
  <si>
    <t>£10 per month per household as budget to cover all postage needs.</t>
  </si>
  <si>
    <t>Cheapest cordless phone with two handsets</t>
  </si>
  <si>
    <t>Vtech CS2001 Cordless Telephone - Twin</t>
  </si>
  <si>
    <t>Cheapest contract smartphone.</t>
  </si>
  <si>
    <t>Motorola Moto E13. 64GB device memory. Warranty 24 months. 24-month contract. Handset included in cost of contract below</t>
  </si>
  <si>
    <t>Cheapest contract smartphone, would include free handset that would be upgraded every 2 years. Contract would include some free minutes, texts and data. 6GB data</t>
  </si>
  <si>
    <t>6GB internet data and unlimited minutes. For use with handset above.</t>
  </si>
  <si>
    <t>H2</t>
  </si>
  <si>
    <t>Family support - looking after grandchildren, treats, foods + clothes Financial - paying for hobbies i.e. swimming lessons, horse riding, football etc. Help with cost of school trips + uniform. £1000 per year</t>
  </si>
  <si>
    <t>Help for friends and family</t>
  </si>
  <si>
    <t xml:space="preserve">£30 per person, per week </t>
  </si>
  <si>
    <t>Food for family and friends</t>
  </si>
  <si>
    <t>£100 per household per month to take out others for a meal i.e. children/grandchildren.</t>
  </si>
  <si>
    <t>£100 every 6 weeks</t>
  </si>
  <si>
    <t>£10 a month for hairdressing</t>
  </si>
  <si>
    <t>£100 per person, per year</t>
  </si>
  <si>
    <t>Oral B, £20, 3 years</t>
  </si>
  <si>
    <t>Oral-B Vitality Plus Electric Toothbrush - Deep Clean</t>
  </si>
  <si>
    <t>Replace head every 3 months</t>
  </si>
  <si>
    <t>Oral-B CrossAction Electric Toothbrush Heads - 8 Pack</t>
  </si>
  <si>
    <t xml:space="preserve">£15 every month </t>
  </si>
  <si>
    <t>Beauty treatments</t>
  </si>
  <si>
    <t>£50 every 6 weeks</t>
  </si>
  <si>
    <t>£25 every 6 weeks</t>
  </si>
  <si>
    <t>£20 sqm, would last 10 years, United carpets, carpetright, plus underlay and fitting (doorbars etc.</t>
  </si>
  <si>
    <t>£20 sqm, would last 15 years, United carpets, carpetright, plus underlay and fitting (doorbars etc.</t>
  </si>
  <si>
    <t>3 year old Ford Fiesta, replace every 7 years</t>
  </si>
  <si>
    <t>Includes £80K contents, accidental damage, emergency cover, replacement locks, £2k personal possessions cover, £250 excess</t>
  </si>
  <si>
    <t>£198.48 paid in 12 monthly instalments of £18.04. Sainsburys bank</t>
  </si>
  <si>
    <t>Buildings and contents insurance</t>
  </si>
  <si>
    <t>TV (Bedroom)</t>
  </si>
  <si>
    <t>32" Smart TV for bedroom + bracket</t>
  </si>
  <si>
    <t>SAMSUNG UE32T4300AEXXU 32" Smart HD Ready HDR LED TV</t>
  </si>
  <si>
    <t>LOGIK LCS16 Tilt &amp; Swivel TV Bracket</t>
  </si>
  <si>
    <t>TV bracket (bedroom)</t>
  </si>
  <si>
    <t>Hovis Wholemeal Medium Bread 800G</t>
  </si>
  <si>
    <t>Hovis</t>
  </si>
  <si>
    <t>1000g</t>
  </si>
  <si>
    <t>Flora Lighter Spread 1000g. Clubcard Price £3.25 (full price £4.25)</t>
  </si>
  <si>
    <t>Kenco Gold Indulgence Instant Coffee 195G</t>
  </si>
  <si>
    <t>Tesco Unsmked Back Bacon*10 300G. Clubcard price £2 (full price £2.25)</t>
  </si>
  <si>
    <t>Tesco Large Free Range Eggs 6 Pack</t>
  </si>
  <si>
    <t>Tesco Finest British Pork Sausages 400G</t>
  </si>
  <si>
    <t>Tesco Finest Dark Seville Orange Marmalade 340G</t>
  </si>
  <si>
    <t>Tesco Fruit Nut &amp; Seed Mix 300G</t>
  </si>
  <si>
    <t>300g</t>
  </si>
  <si>
    <t>Yorkshire 80 Teabags 250G</t>
  </si>
  <si>
    <t>Tesco Gala Apple 6 pack. Clubcard price £1.20 (full price £1.70)</t>
  </si>
  <si>
    <t>Nairns Rough Oatcakes 291G</t>
  </si>
  <si>
    <t xml:space="preserve">Mr Kipling Jam Tarts 6 Pack </t>
  </si>
  <si>
    <t>10 satsumas</t>
  </si>
  <si>
    <t xml:space="preserve">Pears Conference Class 1 Loose </t>
  </si>
  <si>
    <t>Tesco Blueberries 125G</t>
  </si>
  <si>
    <t>Tesco Brown Onions 1Kg</t>
  </si>
  <si>
    <t>Tesco Celery Sticks 250g 75p Clubcard Price 86p standard price</t>
  </si>
  <si>
    <t>Tesco fresh Leek</t>
  </si>
  <si>
    <t>Tesco Organic Garlic 3 Pack</t>
  </si>
  <si>
    <t>2 40-55 g</t>
  </si>
  <si>
    <t>Tesco Tuna Chunks In Spring Water 400G</t>
  </si>
  <si>
    <t>145g</t>
  </si>
  <si>
    <t xml:space="preserve">Tesco Tuna Chunks in Spring Water 145g (best option gives 102g drained) </t>
  </si>
  <si>
    <t>Hellmann's Real Mayonnaise Jar 400g</t>
  </si>
  <si>
    <t>Potatoes Baking Loose</t>
  </si>
  <si>
    <t>x2</t>
  </si>
  <si>
    <t>Lea &amp; Perrins Worcestershire Sauce 150Ml</t>
  </si>
  <si>
    <t>Tesco Baked Beans In Tomato Sauce 420g</t>
  </si>
  <si>
    <t>McCain Naked Oven Chips Straight Cut 900G</t>
  </si>
  <si>
    <t>Del Monte Peach Slices In Juice 415G</t>
  </si>
  <si>
    <t>Tesco Tikka Masala Cooking Sauce 500G</t>
  </si>
  <si>
    <t xml:space="preserve">Tesco Lean Diced Beef 400g </t>
  </si>
  <si>
    <t>Dr.Oetker Madagascan Vanilla Extract 35Ml</t>
  </si>
  <si>
    <t>Tesco Parsnips 500G</t>
  </si>
  <si>
    <t>Swede</t>
  </si>
  <si>
    <t>Tesco  Savoy Cabbage</t>
  </si>
  <si>
    <t>Carte D'or Madagascan Vanilla Ice Cream Tub 900ml</t>
  </si>
  <si>
    <t>£47.88 per year for off-peak food delivery</t>
  </si>
  <si>
    <t>Yorkshire Tea</t>
  </si>
  <si>
    <t>Lea &amp; Perrins</t>
  </si>
  <si>
    <t>Tesco 30% Reduced Fat Mature Cheese 400g</t>
  </si>
  <si>
    <t>Beer</t>
  </si>
  <si>
    <t xml:space="preserve">3 cans of beer a week. </t>
  </si>
  <si>
    <t>Beavertown Neck Oil Session Ipa 10X330ml</t>
  </si>
  <si>
    <t>Wine, Red</t>
  </si>
  <si>
    <t>Mcguigan Reserve Cabernet Sauvignon 75Cl</t>
  </si>
  <si>
    <t>Wine, white</t>
  </si>
  <si>
    <t>1 bottle wine per week each. £8 per bottle</t>
  </si>
  <si>
    <t>Mcguigan Reserve Pinot Grigio 75Cl</t>
  </si>
  <si>
    <t>Beavertown</t>
  </si>
  <si>
    <t>Thomas Cook</t>
  </si>
  <si>
    <t>Replacement</t>
  </si>
  <si>
    <t>B&amp;Q/Wickes</t>
  </si>
  <si>
    <t>Once in retirement, replacing bath with walk-in shower</t>
  </si>
  <si>
    <t>Flooring</t>
  </si>
  <si>
    <t>Would replce when replacing the bathroom; cost included in this.</t>
  </si>
  <si>
    <t>Video doorbell</t>
  </si>
  <si>
    <t>Blink Video Doorbell Wired or Battery</t>
  </si>
  <si>
    <t>SA Products LED Security Light - Outdoor LED Lights with 5 Bulbs &amp; Motion Sensor - Battery-Powered 600 Lumen Spotlight</t>
  </si>
  <si>
    <t>Security Light</t>
  </si>
  <si>
    <t>2 needed. One back and one front. Last 20 yrs.</t>
  </si>
  <si>
    <t>Ppens</t>
  </si>
  <si>
    <t>Funeral plan</t>
  </si>
  <si>
    <t>£4150 for Co-Op Silver cremation plan</t>
  </si>
  <si>
    <t>Maintenance</t>
  </si>
  <si>
    <t>Boiler servicing and cover</t>
  </si>
  <si>
    <t>British Gas Home Care Classic
Includes:  Repairs to your gas central heating system, including boiler, controls, radiators and hot water cylinder; annual service of your boiler to make sure it's running safely and efficiently; repairs to the plumbing system in your home and outbuildings and the water supply pipe within the boundary of your property. Unblocking and repairing your drains and waste pipes to restore flow; Accidental Damage; Up to £1,000 to gain access and make good for each repair
No excess for each repair</t>
  </si>
  <si>
    <t>Boiler maintenance and replacement plan</t>
  </si>
  <si>
    <t>£45 per lampshade throughout house.</t>
  </si>
  <si>
    <t>ASDA LED Classic 60W Large Bayonet Daylight Lightbulb 2 pack</t>
  </si>
  <si>
    <t>£150 per window, last 10 years</t>
  </si>
  <si>
    <t>£90 per window, last 10 years</t>
  </si>
  <si>
    <t>Habitat Apia Shoe Storage Bench - Natural</t>
  </si>
  <si>
    <t>Argos Home Hearts Printed Washable Polyester Doormat - Grey</t>
  </si>
  <si>
    <t>For outside, cheapest coconut matting 'welcome' style, Argos, Wilko, Homebase, 5 years x2</t>
  </si>
  <si>
    <t>For inside, rubber backed approx. £5, Argos, Wilko, Homebase, 5 years x2</t>
  </si>
  <si>
    <t>STOCKHOLM Mirror, walnut veneer, 60 cm</t>
  </si>
  <si>
    <t>E2</t>
  </si>
  <si>
    <t>Ikea</t>
  </si>
  <si>
    <t>Sofa (2 seater)</t>
  </si>
  <si>
    <t>3+2 seaters from DFS, fabric. Total cost up to £1,500.</t>
  </si>
  <si>
    <t>Spinn 2 seater sofa</t>
  </si>
  <si>
    <t>Spinn 3 seater sofa</t>
  </si>
  <si>
    <t>5 cushions, approx. £12 each.</t>
  </si>
  <si>
    <t>Wynter cushion</t>
  </si>
  <si>
    <t>£260 every year for personalisation</t>
  </si>
  <si>
    <t>Virrmo floor/reading lamp</t>
  </si>
  <si>
    <t>£30 floor lamp, 5 years</t>
  </si>
  <si>
    <t>£20 table lamp, 5 years</t>
  </si>
  <si>
    <t>Arstid table lamp</t>
  </si>
  <si>
    <t>Mid-range, 6 chairs and table, Ikea, 10 years</t>
  </si>
  <si>
    <t>Ekedalen table and 6 chairs</t>
  </si>
  <si>
    <t>6 tablemats, £20 last 25 years</t>
  </si>
  <si>
    <t>Set of 4 Gardenia Grey Floral Placemats</t>
  </si>
  <si>
    <t>6 coasters, 25 years</t>
  </si>
  <si>
    <t>Set of 4 painted wooden coasters</t>
  </si>
  <si>
    <t>Sainsburys</t>
  </si>
  <si>
    <t>Supermarket 32 piece set, 25 years</t>
  </si>
  <si>
    <t>Sainsbury's Home Simplicity Cutlery set 32pc</t>
  </si>
  <si>
    <t xml:space="preserve">8 tall glasses and 8 wine glasses 2 years </t>
  </si>
  <si>
    <t xml:space="preserve">8 tall glasses and 8 wine glasses.2 years </t>
  </si>
  <si>
    <t>DYRGRIP</t>
  </si>
  <si>
    <t>POKAL</t>
  </si>
  <si>
    <t>Russell Hobbs Inspire 17 Litre Manual Microwave - Black</t>
  </si>
  <si>
    <t>£60-70 from supermarket, 5 years</t>
  </si>
  <si>
    <t>LOGIK EPP LDW45W23 Slimline Dishwasher - White</t>
  </si>
  <si>
    <t>Dishwasher</t>
  </si>
  <si>
    <t>Cheapest slimline dishwasher, 15 years</t>
  </si>
  <si>
    <t>LOGIK L814WM23 8 kg 1400 Spin Washing Machine - White</t>
  </si>
  <si>
    <t>Cheapest A rated, 8 years</t>
  </si>
  <si>
    <t>Tumble dryer</t>
  </si>
  <si>
    <t>Cheapest A rated, 10 years</t>
  </si>
  <si>
    <t>HOTPOINT NT M10 81WK UK 8 kg Heat Pump Tumble Dryer - White</t>
  </si>
  <si>
    <t>Salter Cosmos 3.5 Litre Oval Slow Cooker</t>
  </si>
  <si>
    <t>Small slow cooker, 10 years</t>
  </si>
  <si>
    <t>Salter Digital Air Fryer 4.2 Litres - With Rack</t>
  </si>
  <si>
    <t>Air fryer</t>
  </si>
  <si>
    <t>Air fryer, 4.5 litres, 5 years</t>
  </si>
  <si>
    <t>Scoville Knife Sharpener</t>
  </si>
  <si>
    <t>Dunelm Professional 41cm Oven Tray</t>
  </si>
  <si>
    <t>Approx. £10, 3 needed, 5 years</t>
  </si>
  <si>
    <t>MasterClass Large Roasting Pan</t>
  </si>
  <si>
    <t>2 needed, 5 years</t>
  </si>
  <si>
    <t>Dunelm Framed Silicone Bun Tin</t>
  </si>
  <si>
    <t>1 needed, 5 years</t>
  </si>
  <si>
    <t>Dunelm Professional Springform Sandwich Tin</t>
  </si>
  <si>
    <t>Two shallow cake tins, spring form, non-stick, 5 years</t>
  </si>
  <si>
    <t>Tala Performance 1lb Loaf Tin</t>
  </si>
  <si>
    <t>2 Double wardrobes. From Ikea/Argos/B&amp;Q/Wayfair/online. Cheapest 'sturdy'. 20 years</t>
  </si>
  <si>
    <t>Combined, clip-together winter and summer duvets. Mid-range. Approx. 4 and 10.5 tog. Lasting 3 years.</t>
  </si>
  <si>
    <t>Four needed. Mid-range synthetic filling from Tesco, The Range, Asda, Dunelm. Lasting 3 years.</t>
  </si>
  <si>
    <t xml:space="preserve">3 needed (used for bedroom 1 and bedroom 2). From Tesco, The Range, Asda, Dunelm. Middle range with a decent threadcount of approx. 200. Lasting 3 years. </t>
  </si>
  <si>
    <t xml:space="preserve">3 needed (used for bedroom 1 and bedroom 2). From Tesco, The Range, Asda, Dunelm. Middle range with a decent threadcount of approx. 200 Lasting 3 years </t>
  </si>
  <si>
    <t>3 needed (used for bedroom 1 and bedroom 2). From Tesco, The Range, Asda, Dunelm. Middle range with a decent threadcount of approx. 200 Lasting 3 years.</t>
  </si>
  <si>
    <t xml:space="preserve">6 extra pillow cases needed in addition to the 6 that come with the duvet sets (used for bedroom 1 and bedroom 2). From Tesco, The Range, Asda, Dunelm. Lasting 3 years. </t>
  </si>
  <si>
    <t xml:space="preserve">2 needed. From Tesco, The Range, Asda, Dunelm. Lasting 3 years. </t>
  </si>
  <si>
    <t xml:space="preserve">8 pillow protectors needed, cheap ok, Dunelm, Supermarket.  3 years. </t>
  </si>
  <si>
    <t>Bedroom 3</t>
  </si>
  <si>
    <t>Ottoman</t>
  </si>
  <si>
    <t>Verona Upholstered Ottoman in Grey</t>
  </si>
  <si>
    <t>Mid-range, 25 years</t>
  </si>
  <si>
    <t>Hot water bottles</t>
  </si>
  <si>
    <t>Lenon Black Faux Fur Hot Water Bottle</t>
  </si>
  <si>
    <t>x2, cheapest ok, plus cover, lasts 2 years.</t>
  </si>
  <si>
    <t>Sofabed</t>
  </si>
  <si>
    <t>Desk</t>
  </si>
  <si>
    <t>Chair (office)</t>
  </si>
  <si>
    <t>Horace, Large 2 Seater Deluxe Sofa Bed</t>
  </si>
  <si>
    <t>Mid-range, DFS, 2 seater, 25 years</t>
  </si>
  <si>
    <t>TROTTEN Desk, white/anthracite, 120x70 cm</t>
  </si>
  <si>
    <t>Ikea, £80, 25 years</t>
  </si>
  <si>
    <t>MILLBERGET Swivel chair, Murum black</t>
  </si>
  <si>
    <t>Ikea, 10 years</t>
  </si>
  <si>
    <t>Patio Table + chairs</t>
  </si>
  <si>
    <t>TRAMONTINA 3 PIECE TEAK WOOD BISTRO SET</t>
  </si>
  <si>
    <t>B&amp;Q, cheapest wooden bistro set, 4 years</t>
  </si>
  <si>
    <t>Bantham Teak Hardwood Steamer Lounger</t>
  </si>
  <si>
    <t>Lounger</t>
  </si>
  <si>
    <t>B&amp;Q, cheapest wooden, 4 years</t>
  </si>
  <si>
    <t>Pots/Plants etc.</t>
  </si>
  <si>
    <t>£200 a year for pots and plant</t>
  </si>
  <si>
    <t>Would be replaced when the kitchen is replaced pre-retirement</t>
  </si>
  <si>
    <t xml:space="preserve">Bedroom 1 </t>
  </si>
  <si>
    <t>Carpet, softer than stairs as less wear and tear, approx. £15 per sqm plus fitting, 10 years.</t>
  </si>
  <si>
    <t xml:space="preserve">Bedroom 2 </t>
  </si>
  <si>
    <t>Stairs/landing</t>
  </si>
  <si>
    <t>£25 sqm, would last 20 years, United carpets, carpetright, plus underlay and fitting (doorbars etc.)</t>
  </si>
  <si>
    <t>Carpet Right, Ashwell Textured Carpet £21.59sqm, 3.99mx3.76m = (4m roll) will need 16m2 £345.48 + Blissful Carpet Underlay 10mm £196.64 + 16m gripper £36 + Double Edge Aluminium Door Bar - 0.9lm £11.99 + fitting £79.84+ delivery £29.99 = £699.94</t>
  </si>
  <si>
    <t>Carpetright, Ashwell Textured Carpet £21.59sqm 4m roll, 2.36mx2.29m = 5.40m (4m roll will need 9.2m2) £198.65 + Blissful Carpet Underlay 10mm £112.71 + 13m of gripper £29.25 + Double Edge Aluminium Door Bar - 0.9lm £11.99 + fitting £49.90+ delivery £29.99 =£432.49</t>
  </si>
  <si>
    <t>Carpet Right, £14.99/sqm Kingston Saxony Carpet 4m roll, 4.19mx3.45m = 14.46m (4m roll will need 16.8m2) £251.83 + Delightful Carpet Underlay 7mm £137.43 + 17.3m of gripper £40.50 + Double Edge Aluminium Door Bar - 0.9lm £11.99 + fitting £83.83 + delivery £29.99 = £555.57</t>
  </si>
  <si>
    <t>Laminate, just below mid-range</t>
  </si>
  <si>
    <t>Carpet Right, Premoda Borgo Greenwich Oak Laminate, £29.99sqm 3.89mx3.48m = 13.54m2 = £472.36, Stepshield Wood and Laminate Underlay 3mm £79.80 + fitting £220.34 + delivery £29.99 = £802.49</t>
  </si>
  <si>
    <t>Carpet Right, £14.99/sqm Kingston Saxony Carpet (Mercury) 4m roll, 2.36mx2.29m = 5.40m (4m roll will need 9.22m) £137.91 + Delight Carpet Underlay 7mm £75.11 + 13m of gripper £29.25 + Double Edge Aluminium Door Bar - 0.9lm £11.99 + fitting £49.90+ delivery £29.99 = £334.15</t>
  </si>
  <si>
    <t>Carpet Right, £14.99/sqm Kingston Saxony Carpet (Mercury) 4m roll, 3.58mx3.40m = 12.17m (4m roll will need 13.6m2) £203.86 + Delight Carpet Underlay 7mm £111.06 + 15m of gripper £33.75 + Double Edge Aluminium Door Bar - 0.9lm £11.99 + fitting £67.86 + delivery £29.99 = £458.51</t>
  </si>
  <si>
    <t>Energy efficient bulb. 2 last 5 years</t>
  </si>
  <si>
    <t>Laminate</t>
  </si>
  <si>
    <t>£800 a year for labour and materials + £600 just in case money</t>
  </si>
  <si>
    <t>Freedom pass</t>
  </si>
  <si>
    <t>Taxi fares/additional transport</t>
  </si>
  <si>
    <t>£40 a month per household for taxis/Uber, congestions charge etc.</t>
  </si>
  <si>
    <t>£15 a week per person</t>
  </si>
  <si>
    <t xml:space="preserve">Budget of £45 every 2 months. </t>
  </si>
  <si>
    <t>Band C, All London average</t>
  </si>
  <si>
    <t>Thames Water</t>
  </si>
  <si>
    <t>London Moderate 2023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</si>
</sst>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8" formatCode="&quot;£&quot;#,##0.00;[Red]\-&quot;£&quot;#,##0.00"/>
    <numFmt numFmtId="164" formatCode="&quot;£&quot;#,##0.00"/>
    <numFmt numFmtId="165" formatCode="0.0"/>
  </numFmts>
  <fonts count="24"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b/>
      <sz val="12"/>
      <color theme="1"/>
      <name val="Arial"/>
      <family val="2"/>
    </font>
    <font>
      <b/>
      <sz val="11"/>
      <color theme="1"/>
      <name val="Arial"/>
      <family val="2"/>
    </font>
    <font>
      <sz val="11"/>
      <color theme="1"/>
      <name val="Arial"/>
      <family val="2"/>
    </font>
    <font>
      <sz val="8"/>
      <name val="Calibri"/>
      <family val="2"/>
      <scheme val="minor"/>
    </font>
  </fonts>
  <fills count="2">
    <fill>
      <patternFill patternType="none"/>
    </fill>
    <fill>
      <patternFill patternType="gray125"/>
    </fill>
  </fills>
  <borders count="1">
    <border>
      <left/>
      <right/>
      <top/>
      <bottom/>
      <diagonal/>
    </border>
  </borders>
  <cellStyleXfs count="9">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cellStyleXfs>
  <cellXfs count="142">
    <xf numFmtId="0" fontId="0" fillId="0" borderId="0" xfId="0"/>
    <xf numFmtId="0" fontId="2" fillId="0" borderId="0" xfId="0" applyFont="1" applyAlignment="1">
      <alignment vertical="top" wrapText="1"/>
    </xf>
    <xf numFmtId="2" fontId="2" fillId="0" borderId="0" xfId="0" applyNumberFormat="1" applyFont="1" applyAlignment="1">
      <alignment horizontal="right" vertical="top"/>
    </xf>
    <xf numFmtId="0" fontId="2" fillId="0" borderId="0" xfId="0" applyFont="1" applyAlignment="1">
      <alignment horizontal="right" vertical="top"/>
    </xf>
    <xf numFmtId="2" fontId="2" fillId="0" borderId="0" xfId="2" applyNumberFormat="1" applyFont="1" applyAlignment="1">
      <alignment vertical="top" wrapText="1"/>
    </xf>
    <xf numFmtId="0" fontId="2" fillId="0" borderId="0" xfId="6" applyFont="1" applyFill="1" applyAlignment="1">
      <alignment vertical="top" wrapText="1"/>
    </xf>
    <xf numFmtId="165" fontId="2" fillId="0" borderId="0" xfId="0" applyNumberFormat="1" applyFont="1" applyAlignment="1">
      <alignment horizontal="right" vertical="top"/>
    </xf>
    <xf numFmtId="0" fontId="20" fillId="0" borderId="0" xfId="0" applyFont="1"/>
    <xf numFmtId="0" fontId="21" fillId="0" borderId="0" xfId="0" applyFont="1"/>
    <xf numFmtId="0" fontId="22" fillId="0" borderId="0" xfId="0" applyFont="1"/>
    <xf numFmtId="2" fontId="22" fillId="0" borderId="0" xfId="0" applyNumberFormat="1" applyFont="1"/>
    <xf numFmtId="0" fontId="7"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xf numFmtId="0" fontId="1" fillId="0" borderId="0" xfId="0" applyFont="1" applyAlignment="1">
      <alignment horizontal="left" vertical="top" wrapText="1"/>
    </xf>
    <xf numFmtId="2" fontId="1" fillId="0" borderId="0" xfId="0" applyNumberFormat="1" applyFont="1" applyAlignment="1">
      <alignment horizontal="left" vertical="top" wrapText="1"/>
    </xf>
    <xf numFmtId="0" fontId="1" fillId="0" borderId="0" xfId="1" applyFont="1" applyAlignment="1">
      <alignment horizontal="left" vertical="top" wrapText="1"/>
    </xf>
    <xf numFmtId="0" fontId="16" fillId="0" borderId="0" xfId="0" applyFont="1" applyAlignment="1">
      <alignment horizontal="left" vertical="top" wrapText="1"/>
    </xf>
    <xf numFmtId="0" fontId="19" fillId="0" borderId="0" xfId="0" applyFont="1"/>
    <xf numFmtId="0" fontId="19"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vertical="top"/>
    </xf>
    <xf numFmtId="2" fontId="3" fillId="0" borderId="0" xfId="0" applyNumberFormat="1" applyFont="1" applyAlignment="1">
      <alignment horizontal="right" vertical="top"/>
    </xf>
    <xf numFmtId="0" fontId="3" fillId="0" borderId="0" xfId="0" applyFont="1" applyAlignment="1">
      <alignment horizontal="right" vertical="top"/>
    </xf>
    <xf numFmtId="165" fontId="3" fillId="0" borderId="0" xfId="0" applyNumberFormat="1" applyFont="1" applyAlignment="1">
      <alignment horizontal="right" vertical="top"/>
    </xf>
    <xf numFmtId="0" fontId="2" fillId="0" borderId="0" xfId="0" applyFont="1" applyAlignment="1">
      <alignment horizontal="left" vertical="top" wrapText="1"/>
    </xf>
    <xf numFmtId="2" fontId="3" fillId="0" borderId="0" xfId="0" applyNumberFormat="1" applyFont="1" applyAlignment="1">
      <alignment horizontal="right" vertical="top" wrapText="1"/>
    </xf>
    <xf numFmtId="0" fontId="3" fillId="0" borderId="0" xfId="0" applyFont="1" applyAlignment="1">
      <alignment horizontal="right" vertical="top" wrapText="1"/>
    </xf>
    <xf numFmtId="0" fontId="15" fillId="0" borderId="0" xfId="0" applyFont="1" applyAlignment="1">
      <alignment vertical="top" wrapText="1"/>
    </xf>
    <xf numFmtId="0" fontId="17" fillId="0" borderId="0" xfId="0" applyFont="1" applyAlignment="1">
      <alignment vertical="top" wrapText="1"/>
    </xf>
    <xf numFmtId="0" fontId="2" fillId="0" borderId="0" xfId="0" applyFont="1" applyAlignment="1">
      <alignment horizontal="left" vertical="top"/>
    </xf>
    <xf numFmtId="0" fontId="3" fillId="0" borderId="0" xfId="0" applyFont="1" applyAlignment="1">
      <alignment horizontal="left" vertical="top"/>
    </xf>
    <xf numFmtId="2" fontId="2" fillId="0" borderId="0" xfId="0" applyNumberFormat="1" applyFont="1" applyAlignment="1">
      <alignment horizontal="right" vertical="top" wrapText="1"/>
    </xf>
    <xf numFmtId="0" fontId="2" fillId="0" borderId="0" xfId="0" applyFont="1" applyAlignment="1">
      <alignment horizontal="right" vertical="top" wrapText="1"/>
    </xf>
    <xf numFmtId="165" fontId="2" fillId="0" borderId="0" xfId="0" applyNumberFormat="1" applyFont="1" applyAlignment="1">
      <alignment horizontal="right" vertical="top" wrapText="1"/>
    </xf>
    <xf numFmtId="6" fontId="2" fillId="0" borderId="0" xfId="0" applyNumberFormat="1" applyFont="1" applyAlignment="1">
      <alignment horizontal="left" vertical="top" wrapText="1"/>
    </xf>
    <xf numFmtId="2" fontId="3" fillId="0" borderId="0" xfId="0" applyNumberFormat="1" applyFont="1" applyAlignment="1">
      <alignment horizontal="left" vertical="top"/>
    </xf>
    <xf numFmtId="0" fontId="1" fillId="0" borderId="0" xfId="0" applyFont="1" applyAlignment="1">
      <alignment horizontal="left" vertical="top"/>
    </xf>
    <xf numFmtId="0" fontId="1" fillId="0" borderId="0" xfId="1" applyFont="1" applyAlignment="1">
      <alignment horizontal="left" vertical="top"/>
    </xf>
    <xf numFmtId="0" fontId="2" fillId="0" borderId="0" xfId="1" applyFont="1" applyAlignment="1">
      <alignment horizontal="left" vertical="top" wrapText="1"/>
    </xf>
    <xf numFmtId="0" fontId="2" fillId="0" borderId="0" xfId="1" quotePrefix="1" applyFont="1" applyAlignment="1">
      <alignment horizontal="left" vertical="top" wrapText="1"/>
    </xf>
    <xf numFmtId="0" fontId="16" fillId="0" borderId="0" xfId="1" applyFont="1" applyAlignment="1">
      <alignment horizontal="left" vertical="top" wrapText="1"/>
    </xf>
    <xf numFmtId="0" fontId="3" fillId="0" borderId="0" xfId="0" applyFont="1" applyAlignment="1">
      <alignment wrapText="1"/>
    </xf>
    <xf numFmtId="0" fontId="3" fillId="0" borderId="0" xfId="0" applyFont="1"/>
    <xf numFmtId="165" fontId="3" fillId="0" borderId="0" xfId="0" applyNumberFormat="1" applyFont="1"/>
    <xf numFmtId="2" fontId="3" fillId="0" borderId="0" xfId="0" applyNumberFormat="1" applyFont="1"/>
    <xf numFmtId="0" fontId="2" fillId="0" borderId="0" xfId="2" applyFont="1" applyAlignment="1">
      <alignment horizontal="left" vertical="top" wrapText="1"/>
    </xf>
    <xf numFmtId="2" fontId="2" fillId="0" borderId="0" xfId="2" applyNumberFormat="1" applyFont="1" applyAlignment="1">
      <alignment horizontal="right" vertical="top" wrapText="1"/>
    </xf>
    <xf numFmtId="2" fontId="1" fillId="0" borderId="0" xfId="1" applyNumberFormat="1" applyFont="1" applyAlignment="1">
      <alignment horizontal="left" vertical="top" wrapText="1"/>
    </xf>
    <xf numFmtId="2" fontId="2" fillId="0" borderId="0" xfId="1" applyNumberFormat="1" applyFont="1" applyAlignment="1">
      <alignment horizontal="left" vertical="top" wrapText="1"/>
    </xf>
    <xf numFmtId="0" fontId="0" fillId="0" borderId="0" xfId="0" applyAlignment="1">
      <alignment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2" fontId="2" fillId="0" borderId="0" xfId="2" applyNumberFormat="1" applyFont="1" applyAlignment="1">
      <alignment horizontal="left" vertical="top" wrapText="1"/>
    </xf>
    <xf numFmtId="0" fontId="2" fillId="0" borderId="0" xfId="2" applyFont="1" applyAlignment="1">
      <alignment horizontal="right" vertical="top" wrapText="1"/>
    </xf>
    <xf numFmtId="165" fontId="2" fillId="0" borderId="0" xfId="2" applyNumberFormat="1" applyFont="1" applyAlignment="1">
      <alignment horizontal="right" vertical="top" wrapText="1"/>
    </xf>
    <xf numFmtId="0" fontId="2" fillId="0" borderId="0" xfId="1" applyFont="1" applyAlignment="1">
      <alignment vertical="top" wrapText="1"/>
    </xf>
    <xf numFmtId="0" fontId="5" fillId="0" borderId="0" xfId="2" applyFont="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2" fillId="0" borderId="0" xfId="5" applyFont="1" applyAlignment="1">
      <alignment vertical="top"/>
    </xf>
    <xf numFmtId="0" fontId="2" fillId="0" borderId="0" xfId="5" applyFont="1" applyAlignment="1">
      <alignment horizontal="left" vertical="top"/>
    </xf>
    <xf numFmtId="0" fontId="3" fillId="0" borderId="0" xfId="5" applyFont="1" applyAlignment="1">
      <alignment vertical="top" wrapText="1"/>
    </xf>
    <xf numFmtId="0" fontId="3" fillId="0" borderId="0" xfId="5" applyFont="1" applyAlignment="1">
      <alignment vertical="top"/>
    </xf>
    <xf numFmtId="2" fontId="3" fillId="0" borderId="0" xfId="5" applyNumberFormat="1" applyFont="1" applyAlignment="1">
      <alignment horizontal="right" vertical="top"/>
    </xf>
    <xf numFmtId="0" fontId="3" fillId="0" borderId="0" xfId="5" applyFont="1" applyAlignment="1">
      <alignment horizontal="right" vertical="top"/>
    </xf>
    <xf numFmtId="165" fontId="2" fillId="0" borderId="0" xfId="5" applyNumberFormat="1" applyFont="1" applyAlignment="1">
      <alignment horizontal="right" vertical="top" wrapText="1"/>
    </xf>
    <xf numFmtId="2" fontId="3" fillId="0" borderId="0" xfId="5" applyNumberFormat="1" applyFont="1" applyAlignment="1">
      <alignment vertical="top"/>
    </xf>
    <xf numFmtId="165" fontId="2" fillId="0" borderId="0" xfId="5" applyNumberFormat="1" applyFont="1" applyAlignment="1">
      <alignment vertical="top" wrapText="1"/>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2" fillId="0" borderId="0" xfId="0" applyNumberFormat="1" applyFont="1" applyAlignment="1">
      <alignment vertical="top"/>
    </xf>
    <xf numFmtId="0" fontId="1" fillId="0" borderId="0" xfId="1" applyFont="1" applyAlignment="1">
      <alignment vertical="top"/>
    </xf>
    <xf numFmtId="2" fontId="2" fillId="0" borderId="0" xfId="1" applyNumberFormat="1" applyFont="1" applyAlignment="1">
      <alignmen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165"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center" vertical="top"/>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2" fontId="2" fillId="0" borderId="0" xfId="0" applyNumberFormat="1" applyFont="1" applyAlignment="1">
      <alignment horizontal="left" vertical="top" wrapTex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0" fillId="0" borderId="0" xfId="0" applyAlignment="1">
      <alignment horizontal="left"/>
    </xf>
    <xf numFmtId="2" fontId="0" fillId="0" borderId="0" xfId="0" applyNumberFormat="1"/>
    <xf numFmtId="2" fontId="3" fillId="0" borderId="0" xfId="0" applyNumberFormat="1" applyFont="1" applyAlignment="1">
      <alignment horizontal="left"/>
    </xf>
    <xf numFmtId="2" fontId="2" fillId="0" borderId="0" xfId="0" applyNumberFormat="1" applyFont="1" applyAlignment="1">
      <alignment horizontal="left" vertical="top"/>
    </xf>
    <xf numFmtId="0" fontId="2" fillId="0" borderId="0" xfId="2" applyFont="1" applyAlignment="1">
      <alignment horizontal="left" vertical="top"/>
    </xf>
    <xf numFmtId="0" fontId="1" fillId="0" borderId="0" xfId="0" applyFont="1" applyAlignment="1">
      <alignment vertical="top"/>
    </xf>
    <xf numFmtId="164" fontId="3" fillId="0" borderId="0" xfId="0" applyNumberFormat="1" applyFont="1" applyAlignment="1">
      <alignment vertical="top" wrapText="1"/>
    </xf>
    <xf numFmtId="165" fontId="2" fillId="0" borderId="0" xfId="0" applyNumberFormat="1" applyFont="1" applyAlignment="1">
      <alignment vertical="top"/>
    </xf>
    <xf numFmtId="0" fontId="2" fillId="0" borderId="0" xfId="3" applyFont="1" applyAlignment="1">
      <alignment vertical="top" wrapText="1"/>
    </xf>
    <xf numFmtId="0" fontId="5" fillId="0" borderId="0" xfId="0" applyFont="1" applyAlignment="1">
      <alignment vertical="top"/>
    </xf>
    <xf numFmtId="0" fontId="5" fillId="0" borderId="0" xfId="0" applyFont="1" applyAlignment="1">
      <alignment vertical="top" wrapText="1"/>
    </xf>
    <xf numFmtId="0" fontId="2" fillId="0" borderId="0" xfId="0" applyFont="1" applyAlignment="1">
      <alignment horizontal="left" vertical="center" wrapText="1"/>
    </xf>
    <xf numFmtId="2" fontId="3" fillId="0" borderId="0" xfId="0" applyNumberFormat="1" applyFont="1" applyAlignment="1">
      <alignment vertical="center"/>
    </xf>
    <xf numFmtId="1" fontId="2" fillId="0" borderId="0" xfId="0" applyNumberFormat="1" applyFont="1" applyAlignment="1">
      <alignment vertical="top"/>
    </xf>
    <xf numFmtId="0" fontId="18" fillId="0" borderId="0" xfId="0" applyFont="1"/>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5" fillId="0" borderId="0" xfId="0" applyFont="1" applyAlignment="1">
      <alignment horizontal="left" vertical="top" wrapText="1"/>
    </xf>
    <xf numFmtId="8" fontId="2" fillId="0" borderId="0" xfId="0" applyNumberFormat="1" applyFont="1" applyAlignment="1">
      <alignment horizontal="left" vertical="top" wrapText="1"/>
    </xf>
    <xf numFmtId="2" fontId="2" fillId="0" borderId="0" xfId="1" applyNumberFormat="1" applyFont="1" applyAlignment="1">
      <alignment vertical="top"/>
    </xf>
    <xf numFmtId="165" fontId="2" fillId="0" borderId="0" xfId="1" applyNumberFormat="1" applyFont="1" applyAlignment="1">
      <alignment vertical="top"/>
    </xf>
    <xf numFmtId="0" fontId="5" fillId="0" borderId="0" xfId="1" applyFont="1" applyAlignment="1">
      <alignment horizontal="left" vertical="top" wrapText="1"/>
    </xf>
    <xf numFmtId="2" fontId="2" fillId="0" borderId="0" xfId="1" applyNumberFormat="1" applyFont="1" applyAlignment="1">
      <alignment horizontal="right" vertical="top"/>
    </xf>
    <xf numFmtId="0" fontId="2" fillId="0" borderId="0" xfId="1" applyFont="1" applyAlignment="1">
      <alignment horizontal="right" vertical="top"/>
    </xf>
    <xf numFmtId="1" fontId="2" fillId="0" borderId="0" xfId="1" applyNumberFormat="1" applyFont="1" applyAlignment="1">
      <alignment horizontal="righ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5" fontId="2" fillId="0" borderId="0" xfId="2" applyNumberFormat="1" applyFont="1" applyAlignment="1">
      <alignment horizontal="right" vertical="top"/>
    </xf>
    <xf numFmtId="2" fontId="21" fillId="0" borderId="0" xfId="0" applyNumberFormat="1" applyFont="1"/>
    <xf numFmtId="0" fontId="1" fillId="0" borderId="0" xfId="2" applyFont="1" applyAlignment="1">
      <alignment horizontal="left" vertical="top" wrapText="1"/>
    </xf>
    <xf numFmtId="2" fontId="1" fillId="0" borderId="0" xfId="2" applyNumberFormat="1" applyFont="1" applyAlignment="1">
      <alignment horizontal="right" vertical="top" wrapText="1"/>
    </xf>
    <xf numFmtId="0" fontId="1" fillId="0" borderId="0" xfId="2" applyFont="1" applyAlignment="1">
      <alignment horizontal="right" vertical="top" wrapText="1"/>
    </xf>
    <xf numFmtId="165" fontId="1" fillId="0" borderId="0" xfId="2" applyNumberFormat="1" applyFont="1" applyAlignment="1">
      <alignment horizontal="right" vertical="top" wrapText="1"/>
    </xf>
  </cellXfs>
  <cellStyles count="9">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2 3" xfId="8" xr:uid="{9E4F293A-87EF-46E6-B2DE-A9EA0B903E2B}"/>
    <cellStyle name="Normal 3" xfId="3" xr:uid="{04DCE82E-8B5A-40D5-B39C-C354213CC9E7}"/>
    <cellStyle name="Normal 4" xfId="4" xr:uid="{7EF14C96-2DF1-4363-AD05-F2D97379445D}"/>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PROJECTS/MIS%20+/MIS%202010-2014/MIS%202012/Spreadsheets/Master%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89" zoomScaleNormal="70" workbookViewId="0">
      <selection activeCell="F29" sqref="F29"/>
    </sheetView>
  </sheetViews>
  <sheetFormatPr defaultColWidth="8.7109375" defaultRowHeight="14.25" x14ac:dyDescent="0.2"/>
  <cols>
    <col min="1" max="1" width="26" style="9" customWidth="1"/>
    <col min="2" max="3" width="8.7109375" style="9"/>
    <col min="4" max="4" width="22.42578125" style="9" customWidth="1"/>
    <col min="5" max="6" width="8.7109375" style="9"/>
    <col min="7" max="7" width="26.28515625" style="9" bestFit="1" customWidth="1"/>
    <col min="8" max="9" width="12" style="9" bestFit="1" customWidth="1"/>
    <col min="10" max="10" width="8.7109375" style="9"/>
    <col min="11" max="11" width="24.140625" style="9" customWidth="1"/>
    <col min="12" max="16384" width="8.7109375" style="9"/>
  </cols>
  <sheetData>
    <row r="1" spans="1:9" ht="15.75" x14ac:dyDescent="0.25">
      <c r="A1" s="7" t="s">
        <v>1275</v>
      </c>
      <c r="B1" s="8"/>
      <c r="C1" s="8"/>
      <c r="D1" s="8"/>
      <c r="E1" s="8"/>
    </row>
    <row r="2" spans="1:9" ht="15.75" x14ac:dyDescent="0.25">
      <c r="A2" s="7"/>
      <c r="B2" s="8"/>
      <c r="C2" s="8"/>
      <c r="D2" s="8"/>
      <c r="E2" s="8"/>
    </row>
    <row r="3" spans="1:9" ht="15.75" x14ac:dyDescent="0.25">
      <c r="A3" s="7" t="s">
        <v>965</v>
      </c>
      <c r="B3" s="8"/>
      <c r="C3" s="8"/>
      <c r="D3" s="8"/>
      <c r="E3" s="8"/>
    </row>
    <row r="4" spans="1:9" ht="15" x14ac:dyDescent="0.25">
      <c r="A4" s="8"/>
      <c r="B4" s="8"/>
      <c r="C4" s="8"/>
      <c r="D4" s="8"/>
      <c r="E4" s="8"/>
    </row>
    <row r="5" spans="1:9" x14ac:dyDescent="0.2">
      <c r="A5" s="9" t="s">
        <v>966</v>
      </c>
      <c r="B5" s="10"/>
      <c r="C5" s="10"/>
      <c r="D5" s="10"/>
      <c r="E5" s="10">
        <f>SUM(E6:E7)</f>
        <v>213.91528811285031</v>
      </c>
      <c r="G5" s="9" t="s">
        <v>946</v>
      </c>
      <c r="H5" s="10">
        <f>E5</f>
        <v>213.91528811285031</v>
      </c>
      <c r="I5" s="10"/>
    </row>
    <row r="6" spans="1:9" x14ac:dyDescent="0.2">
      <c r="B6" s="10" t="s">
        <v>967</v>
      </c>
      <c r="C6" s="10"/>
      <c r="D6" s="10"/>
      <c r="E6" s="10">
        <f>Food!E109</f>
        <v>100.90158948271333</v>
      </c>
      <c r="F6" s="10"/>
      <c r="G6" s="9" t="s">
        <v>947</v>
      </c>
      <c r="H6" s="10">
        <f>E9</f>
        <v>21.55</v>
      </c>
      <c r="I6" s="10"/>
    </row>
    <row r="7" spans="1:9" x14ac:dyDescent="0.2">
      <c r="B7" s="10" t="s">
        <v>968</v>
      </c>
      <c r="C7" s="10"/>
      <c r="D7" s="10"/>
      <c r="E7" s="10">
        <f>Food!E110</f>
        <v>113.01369863013699</v>
      </c>
      <c r="G7" s="9" t="s">
        <v>948</v>
      </c>
      <c r="H7" s="10">
        <f>E12</f>
        <v>0</v>
      </c>
      <c r="I7" s="10"/>
    </row>
    <row r="8" spans="1:9" x14ac:dyDescent="0.2">
      <c r="B8" s="10"/>
      <c r="C8" s="10"/>
      <c r="D8" s="10"/>
      <c r="E8" s="10"/>
      <c r="G8" s="9" t="s">
        <v>949</v>
      </c>
      <c r="H8" s="10">
        <f>E14</f>
        <v>47.945205479452056</v>
      </c>
      <c r="I8" s="10"/>
    </row>
    <row r="9" spans="1:9" x14ac:dyDescent="0.2">
      <c r="A9" s="9" t="s">
        <v>969</v>
      </c>
      <c r="B9" s="10" t="s">
        <v>970</v>
      </c>
      <c r="C9" s="10"/>
      <c r="D9" s="10"/>
      <c r="E9" s="10">
        <f>SUM(E10:E11)</f>
        <v>21.55</v>
      </c>
      <c r="G9" s="9" t="s">
        <v>55</v>
      </c>
      <c r="H9" s="10">
        <f>E17</f>
        <v>8.2837808219178068</v>
      </c>
      <c r="I9" s="10"/>
    </row>
    <row r="10" spans="1:9" x14ac:dyDescent="0.2">
      <c r="B10" s="10"/>
      <c r="C10" s="10" t="s">
        <v>971</v>
      </c>
      <c r="D10" s="10"/>
      <c r="E10" s="10">
        <f>Alcohol!F9</f>
        <v>21.55</v>
      </c>
      <c r="G10" s="9" t="s">
        <v>58</v>
      </c>
      <c r="H10" s="10">
        <f>E18</f>
        <v>30.700849315068488</v>
      </c>
      <c r="I10" s="10"/>
    </row>
    <row r="11" spans="1:9" x14ac:dyDescent="0.2">
      <c r="B11" s="10"/>
      <c r="C11" s="10" t="s">
        <v>972</v>
      </c>
      <c r="D11" s="10"/>
      <c r="E11" s="10">
        <f>Alcohol!F10</f>
        <v>0</v>
      </c>
      <c r="G11" s="9" t="s">
        <v>950</v>
      </c>
      <c r="H11" s="10">
        <f>E19</f>
        <v>4.151671232876712</v>
      </c>
      <c r="I11" s="10"/>
    </row>
    <row r="12" spans="1:9" x14ac:dyDescent="0.2">
      <c r="B12" s="10"/>
      <c r="C12" s="10"/>
      <c r="D12" s="10"/>
      <c r="E12" s="10"/>
      <c r="G12" s="9" t="s">
        <v>62</v>
      </c>
      <c r="H12" s="10">
        <f>E20</f>
        <v>73.941478429863025</v>
      </c>
      <c r="I12" s="10"/>
    </row>
    <row r="13" spans="1:9" x14ac:dyDescent="0.2">
      <c r="B13" s="10"/>
      <c r="C13" s="10"/>
      <c r="D13" s="10"/>
      <c r="E13" s="10"/>
      <c r="G13" s="9" t="s">
        <v>951</v>
      </c>
      <c r="H13" s="10">
        <f>E21</f>
        <v>34.492164383561644</v>
      </c>
      <c r="I13" s="10"/>
    </row>
    <row r="14" spans="1:9" x14ac:dyDescent="0.2">
      <c r="A14" s="9" t="s">
        <v>973</v>
      </c>
      <c r="B14" s="10"/>
      <c r="C14" s="10"/>
      <c r="D14" s="10"/>
      <c r="E14" s="10">
        <f>SUM(Clothing!E8)</f>
        <v>47.945205479452056</v>
      </c>
      <c r="G14" s="9" t="s">
        <v>952</v>
      </c>
      <c r="H14" s="10">
        <f>E23</f>
        <v>43.968337485932111</v>
      </c>
      <c r="I14" s="10"/>
    </row>
    <row r="15" spans="1:9" x14ac:dyDescent="0.2">
      <c r="A15" s="9" t="s">
        <v>974</v>
      </c>
      <c r="B15" s="10" t="s">
        <v>975</v>
      </c>
      <c r="C15" s="10"/>
      <c r="D15" s="10"/>
      <c r="E15" s="10">
        <f>Housing!F11</f>
        <v>0</v>
      </c>
      <c r="G15" s="9" t="s">
        <v>953</v>
      </c>
      <c r="H15" s="10">
        <f>E24</f>
        <v>21.150905369233193</v>
      </c>
      <c r="I15" s="10"/>
    </row>
    <row r="16" spans="1:9" x14ac:dyDescent="0.2">
      <c r="B16" s="10" t="s">
        <v>976</v>
      </c>
      <c r="C16" s="10"/>
      <c r="D16" s="10"/>
      <c r="E16" s="10">
        <f>Housing!F12</f>
        <v>0</v>
      </c>
      <c r="G16" s="9" t="s">
        <v>954</v>
      </c>
      <c r="H16" s="10">
        <f>E31</f>
        <v>83.296138277557475</v>
      </c>
      <c r="I16" s="10"/>
    </row>
    <row r="17" spans="1:9" x14ac:dyDescent="0.2">
      <c r="B17" s="10" t="s">
        <v>977</v>
      </c>
      <c r="C17" s="10"/>
      <c r="D17" s="10"/>
      <c r="E17" s="10">
        <f>Housing!F13</f>
        <v>8.2837808219178068</v>
      </c>
      <c r="G17" s="9" t="s">
        <v>955</v>
      </c>
      <c r="H17" s="10">
        <f>E32</f>
        <v>78.016721092089298</v>
      </c>
      <c r="I17" s="10"/>
    </row>
    <row r="18" spans="1:9" x14ac:dyDescent="0.2">
      <c r="B18" s="10" t="s">
        <v>978</v>
      </c>
      <c r="C18" s="10"/>
      <c r="D18" s="10"/>
      <c r="E18" s="10">
        <f>Housing!F14</f>
        <v>30.700849315068488</v>
      </c>
      <c r="G18" s="9" t="s">
        <v>956</v>
      </c>
      <c r="H18" s="10">
        <f>E33</f>
        <v>13.936073059360732</v>
      </c>
      <c r="I18" s="10"/>
    </row>
    <row r="19" spans="1:9" x14ac:dyDescent="0.2">
      <c r="B19" s="10" t="s">
        <v>979</v>
      </c>
      <c r="C19" s="10"/>
      <c r="D19" s="10"/>
      <c r="E19" s="10">
        <f>Housing!F15</f>
        <v>4.151671232876712</v>
      </c>
      <c r="G19" s="9" t="s">
        <v>1009</v>
      </c>
      <c r="H19" s="10">
        <f>E34</f>
        <v>184.84124383561641</v>
      </c>
      <c r="I19" s="10"/>
    </row>
    <row r="20" spans="1:9" ht="15" x14ac:dyDescent="0.25">
      <c r="B20" s="10" t="s">
        <v>980</v>
      </c>
      <c r="C20" s="10"/>
      <c r="D20" s="10"/>
      <c r="E20" s="10">
        <f>Housing!F16</f>
        <v>73.941478429863025</v>
      </c>
      <c r="G20" s="8" t="s">
        <v>1010</v>
      </c>
      <c r="H20" s="137">
        <f>SUM(H5:H19)</f>
        <v>860.18985689537919</v>
      </c>
      <c r="I20" s="10"/>
    </row>
    <row r="21" spans="1:9" x14ac:dyDescent="0.2">
      <c r="B21" s="10" t="s">
        <v>981</v>
      </c>
      <c r="C21" s="10"/>
      <c r="D21" s="10"/>
      <c r="E21" s="10">
        <f>Housing!F17</f>
        <v>34.492164383561644</v>
      </c>
      <c r="F21" s="10"/>
      <c r="H21" s="10"/>
      <c r="I21" s="10"/>
    </row>
    <row r="22" spans="1:9" x14ac:dyDescent="0.2">
      <c r="B22" s="10"/>
      <c r="C22" s="10"/>
      <c r="D22" s="10"/>
      <c r="E22" s="10"/>
      <c r="F22" s="10"/>
      <c r="H22" s="10"/>
      <c r="I22" s="10"/>
    </row>
    <row r="23" spans="1:9" x14ac:dyDescent="0.2">
      <c r="A23" s="9" t="s">
        <v>982</v>
      </c>
      <c r="B23" s="10" t="s">
        <v>983</v>
      </c>
      <c r="C23" s="10"/>
      <c r="D23" s="10"/>
      <c r="E23" s="10">
        <f>HHGoods!G194</f>
        <v>43.968337485932111</v>
      </c>
      <c r="I23" s="10"/>
    </row>
    <row r="24" spans="1:9" x14ac:dyDescent="0.2">
      <c r="B24" s="10" t="s">
        <v>984</v>
      </c>
      <c r="C24" s="10"/>
      <c r="D24" s="10"/>
      <c r="E24" s="10">
        <f>SUM(E26:E29)</f>
        <v>21.150905369233193</v>
      </c>
    </row>
    <row r="25" spans="1:9" x14ac:dyDescent="0.2">
      <c r="B25" s="10"/>
      <c r="C25" s="10" t="s">
        <v>985</v>
      </c>
      <c r="D25" s="10"/>
      <c r="E25" s="10">
        <f>SUM(E26:E27)</f>
        <v>14.783782081561959</v>
      </c>
    </row>
    <row r="26" spans="1:9" x14ac:dyDescent="0.2">
      <c r="D26" s="9" t="s">
        <v>986</v>
      </c>
      <c r="E26" s="10">
        <f>HHServices!G12</f>
        <v>2.298850574712644</v>
      </c>
    </row>
    <row r="27" spans="1:9" x14ac:dyDescent="0.2">
      <c r="D27" s="9" t="s">
        <v>987</v>
      </c>
      <c r="E27" s="10">
        <f>HHServices!G13</f>
        <v>12.484931506849316</v>
      </c>
    </row>
    <row r="28" spans="1:9" x14ac:dyDescent="0.2">
      <c r="B28" s="10"/>
      <c r="C28" s="10" t="s">
        <v>988</v>
      </c>
      <c r="D28" s="10"/>
      <c r="E28" s="10">
        <v>0</v>
      </c>
    </row>
    <row r="29" spans="1:9" x14ac:dyDescent="0.2">
      <c r="B29" s="10"/>
      <c r="C29" s="10" t="s">
        <v>989</v>
      </c>
      <c r="D29" s="10"/>
      <c r="E29" s="10">
        <f>HHServices!K10</f>
        <v>6.367123287671232</v>
      </c>
    </row>
    <row r="30" spans="1:9" x14ac:dyDescent="0.2">
      <c r="B30" s="10"/>
      <c r="C30" s="10"/>
      <c r="D30" s="10"/>
      <c r="E30" s="10"/>
    </row>
    <row r="31" spans="1:9" x14ac:dyDescent="0.2">
      <c r="A31" s="9" t="s">
        <v>990</v>
      </c>
      <c r="B31" s="10"/>
      <c r="C31" s="10"/>
      <c r="D31" s="10"/>
      <c r="E31" s="10">
        <f>SUM('PersonalGoods+Services'!F68+Health!F20)</f>
        <v>83.296138277557475</v>
      </c>
      <c r="F31" s="10"/>
    </row>
    <row r="32" spans="1:9" x14ac:dyDescent="0.2">
      <c r="A32" s="9" t="s">
        <v>991</v>
      </c>
      <c r="B32" s="9" t="s">
        <v>992</v>
      </c>
      <c r="E32" s="10">
        <f>Transport!K9</f>
        <v>78.016721092089298</v>
      </c>
    </row>
    <row r="33" spans="1:6" x14ac:dyDescent="0.2">
      <c r="B33" s="9" t="s">
        <v>993</v>
      </c>
      <c r="E33" s="10">
        <f>Transport!E10</f>
        <v>13.936073059360732</v>
      </c>
    </row>
    <row r="34" spans="1:6" x14ac:dyDescent="0.2">
      <c r="A34" s="9" t="s">
        <v>994</v>
      </c>
      <c r="E34" s="10">
        <f>SUM(E35:E40)</f>
        <v>184.84124383561641</v>
      </c>
    </row>
    <row r="35" spans="1:6" x14ac:dyDescent="0.2">
      <c r="B35" s="9" t="s">
        <v>995</v>
      </c>
      <c r="E35" s="10">
        <f>LeisureGoods!E20</f>
        <v>44.958832876712322</v>
      </c>
    </row>
    <row r="36" spans="1:6" x14ac:dyDescent="0.2">
      <c r="B36" s="9" t="s">
        <v>996</v>
      </c>
      <c r="E36" s="9">
        <v>0</v>
      </c>
    </row>
    <row r="37" spans="1:6" x14ac:dyDescent="0.2">
      <c r="B37" s="9" t="s">
        <v>997</v>
      </c>
      <c r="E37" s="10">
        <f>LeisureServices!E17</f>
        <v>84.057315068493139</v>
      </c>
    </row>
    <row r="38" spans="1:6" x14ac:dyDescent="0.2">
      <c r="B38" s="10" t="s">
        <v>998</v>
      </c>
      <c r="C38" s="10"/>
      <c r="D38" s="10"/>
      <c r="E38" s="10">
        <f>LeisureServices!E18</f>
        <v>3.0493150684931507</v>
      </c>
    </row>
    <row r="39" spans="1:6" x14ac:dyDescent="0.2">
      <c r="B39" s="10" t="s">
        <v>999</v>
      </c>
      <c r="C39" s="10"/>
      <c r="D39" s="10"/>
      <c r="E39" s="10">
        <f>LeisureServices!E19</f>
        <v>39.945643835616437</v>
      </c>
    </row>
    <row r="40" spans="1:6" x14ac:dyDescent="0.2">
      <c r="B40" s="10" t="s">
        <v>1000</v>
      </c>
      <c r="C40" s="10"/>
      <c r="D40" s="10"/>
      <c r="E40" s="10">
        <f>LeisureServices!E20</f>
        <v>12.830136986301369</v>
      </c>
    </row>
    <row r="41" spans="1:6" x14ac:dyDescent="0.2">
      <c r="B41" s="10"/>
      <c r="C41" s="10"/>
      <c r="D41" s="10"/>
      <c r="E41" s="10"/>
    </row>
    <row r="42" spans="1:6" x14ac:dyDescent="0.2">
      <c r="B42" s="10"/>
      <c r="C42" s="10"/>
      <c r="D42" s="10"/>
      <c r="E42" s="10"/>
    </row>
    <row r="43" spans="1:6" x14ac:dyDescent="0.2">
      <c r="B43" s="10"/>
      <c r="C43" s="10"/>
      <c r="D43" s="10"/>
      <c r="E43" s="10"/>
    </row>
    <row r="45" spans="1:6" x14ac:dyDescent="0.2">
      <c r="B45" s="10"/>
      <c r="C45" s="10"/>
      <c r="D45" s="10"/>
      <c r="E45" s="10"/>
      <c r="F45" s="10"/>
    </row>
    <row r="47" spans="1:6" x14ac:dyDescent="0.2">
      <c r="B47" s="10"/>
      <c r="C47" s="10"/>
      <c r="D47" s="10"/>
      <c r="E47" s="10"/>
    </row>
  </sheetData>
  <printOptions gridLines="1"/>
  <pageMargins left="0.7" right="0.7" top="0.75" bottom="0.75"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view="pageBreakPreview" zoomScaleNormal="115" workbookViewId="0"/>
  </sheetViews>
  <sheetFormatPr defaultColWidth="8.85546875"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6.85546875" customWidth="1"/>
    <col min="10" max="10" width="7" customWidth="1"/>
    <col min="11" max="11" width="6.42578125" customWidth="1"/>
    <col min="12" max="12" width="28" customWidth="1"/>
    <col min="13" max="13" width="21" customWidth="1"/>
  </cols>
  <sheetData>
    <row r="1" spans="1:13" ht="15.75" x14ac:dyDescent="0.25">
      <c r="A1" s="7" t="s">
        <v>1275</v>
      </c>
      <c r="B1" s="40"/>
      <c r="K1" s="121"/>
      <c r="L1" s="121"/>
      <c r="M1" s="121"/>
    </row>
    <row r="2" spans="1:13" x14ac:dyDescent="0.25">
      <c r="A2" s="40" t="s">
        <v>576</v>
      </c>
      <c r="B2" s="40"/>
    </row>
    <row r="3" spans="1:13" x14ac:dyDescent="0.25">
      <c r="A3" s="40" t="s">
        <v>963</v>
      </c>
      <c r="B3" s="40"/>
    </row>
    <row r="4" spans="1:13" ht="26.25" customHeight="1" x14ac:dyDescent="0.25">
      <c r="A4" s="17" t="s">
        <v>0</v>
      </c>
      <c r="B4" s="17" t="s">
        <v>1</v>
      </c>
      <c r="C4" s="17" t="s">
        <v>2</v>
      </c>
      <c r="D4" s="19" t="s">
        <v>3</v>
      </c>
      <c r="E4" s="19" t="s">
        <v>4</v>
      </c>
      <c r="F4" s="19" t="s">
        <v>6</v>
      </c>
      <c r="G4" s="51" t="s">
        <v>7</v>
      </c>
      <c r="H4" s="51" t="s">
        <v>8</v>
      </c>
      <c r="I4" s="19" t="s">
        <v>9</v>
      </c>
      <c r="J4" s="19" t="s">
        <v>10</v>
      </c>
      <c r="K4" s="51" t="s">
        <v>46</v>
      </c>
      <c r="L4" s="51" t="s">
        <v>12</v>
      </c>
      <c r="M4" s="19" t="s">
        <v>13</v>
      </c>
    </row>
    <row r="5" spans="1:13" ht="26.25" customHeight="1" x14ac:dyDescent="0.25">
      <c r="A5" s="33" t="s">
        <v>579</v>
      </c>
      <c r="B5" s="33">
        <v>7.3</v>
      </c>
      <c r="C5" s="33" t="s">
        <v>67</v>
      </c>
      <c r="D5" s="1" t="s">
        <v>580</v>
      </c>
      <c r="E5" s="49" t="s">
        <v>1268</v>
      </c>
      <c r="F5" s="138"/>
      <c r="G5" s="139"/>
      <c r="H5" s="139"/>
      <c r="I5" s="140"/>
      <c r="J5" s="141"/>
      <c r="K5" s="139"/>
      <c r="L5" s="57" t="s">
        <v>1268</v>
      </c>
      <c r="M5" s="19"/>
    </row>
    <row r="6" spans="1:13" ht="27" customHeight="1" x14ac:dyDescent="0.25">
      <c r="A6" s="33" t="s">
        <v>579</v>
      </c>
      <c r="B6" s="33">
        <v>7.3</v>
      </c>
      <c r="C6" s="33" t="s">
        <v>67</v>
      </c>
      <c r="D6" s="1" t="s">
        <v>580</v>
      </c>
      <c r="E6" s="33" t="s">
        <v>581</v>
      </c>
      <c r="F6" s="33" t="s">
        <v>582</v>
      </c>
      <c r="G6" s="2">
        <v>70</v>
      </c>
      <c r="H6" s="3">
        <v>1</v>
      </c>
      <c r="I6" s="3">
        <v>2</v>
      </c>
      <c r="J6" s="6">
        <f>365/7*3</f>
        <v>156.42857142857144</v>
      </c>
      <c r="K6" s="2">
        <f>G6*I6/J6</f>
        <v>0.89497716894977164</v>
      </c>
      <c r="L6" s="28" t="s">
        <v>583</v>
      </c>
      <c r="M6" s="33" t="s">
        <v>584</v>
      </c>
    </row>
    <row r="7" spans="1:13" ht="26.25" customHeight="1" x14ac:dyDescent="0.25">
      <c r="A7" s="33" t="s">
        <v>579</v>
      </c>
      <c r="B7" s="33">
        <v>7.3</v>
      </c>
      <c r="C7" s="33" t="s">
        <v>67</v>
      </c>
      <c r="D7" s="1" t="s">
        <v>580</v>
      </c>
      <c r="E7" s="33" t="s">
        <v>578</v>
      </c>
      <c r="F7" s="33"/>
      <c r="G7" s="2">
        <v>100</v>
      </c>
      <c r="H7" s="3">
        <v>1</v>
      </c>
      <c r="I7" s="3">
        <v>2</v>
      </c>
      <c r="J7" s="6">
        <f>365/7</f>
        <v>52.142857142857146</v>
      </c>
      <c r="K7" s="2">
        <f>G7*I7/J7</f>
        <v>3.8356164383561642</v>
      </c>
      <c r="L7" s="28" t="s">
        <v>1046</v>
      </c>
      <c r="M7" s="33"/>
    </row>
    <row r="8" spans="1:13" ht="45" x14ac:dyDescent="0.25">
      <c r="A8" s="33" t="s">
        <v>579</v>
      </c>
      <c r="B8" s="33">
        <v>7.3</v>
      </c>
      <c r="C8" s="33" t="s">
        <v>67</v>
      </c>
      <c r="D8" s="1" t="s">
        <v>577</v>
      </c>
      <c r="E8" s="28" t="s">
        <v>1269</v>
      </c>
      <c r="F8" s="33"/>
      <c r="G8" s="2">
        <v>40</v>
      </c>
      <c r="H8" s="3">
        <v>1</v>
      </c>
      <c r="I8" s="3">
        <v>1</v>
      </c>
      <c r="J8" s="6">
        <f>365/84</f>
        <v>4.3452380952380949</v>
      </c>
      <c r="K8" s="2">
        <f>G8*I8/J8</f>
        <v>9.2054794520547958</v>
      </c>
      <c r="L8" s="28" t="s">
        <v>1270</v>
      </c>
      <c r="M8" s="33"/>
    </row>
    <row r="9" spans="1:13" ht="22.5" x14ac:dyDescent="0.25">
      <c r="A9" s="33" t="s">
        <v>579</v>
      </c>
      <c r="B9" s="33">
        <v>7.2</v>
      </c>
      <c r="C9" s="33" t="s">
        <v>67</v>
      </c>
      <c r="D9" s="33" t="s">
        <v>1047</v>
      </c>
      <c r="E9" s="33"/>
      <c r="F9" s="33"/>
      <c r="G9" s="2">
        <v>4068.0147426589424</v>
      </c>
      <c r="H9" s="33"/>
      <c r="I9" s="33">
        <v>1</v>
      </c>
      <c r="J9" s="2">
        <f>365/7</f>
        <v>52.142857142857146</v>
      </c>
      <c r="K9" s="2">
        <f>G9*I9/J9</f>
        <v>78.016721092089298</v>
      </c>
      <c r="L9" s="28" t="s">
        <v>1079</v>
      </c>
    </row>
    <row r="10" spans="1:13" x14ac:dyDescent="0.25">
      <c r="D10" s="28" t="s">
        <v>1008</v>
      </c>
      <c r="E10" s="39">
        <f>SUM(K5:K8)</f>
        <v>13.936073059360732</v>
      </c>
      <c r="G10" s="122"/>
    </row>
    <row r="11" spans="1:13" x14ac:dyDescent="0.25">
      <c r="G11" s="122"/>
    </row>
    <row r="12" spans="1:13" x14ac:dyDescent="0.25">
      <c r="G12" s="122"/>
    </row>
    <row r="13" spans="1:13" x14ac:dyDescent="0.25">
      <c r="G13" s="122"/>
    </row>
    <row r="14" spans="1:13" x14ac:dyDescent="0.25">
      <c r="G14" s="122"/>
    </row>
    <row r="15" spans="1:13" x14ac:dyDescent="0.25">
      <c r="G15" s="122"/>
    </row>
    <row r="16" spans="1:13" x14ac:dyDescent="0.25">
      <c r="G16" s="122"/>
    </row>
    <row r="17" spans="7:7" x14ac:dyDescent="0.25">
      <c r="G17" s="122"/>
    </row>
    <row r="18" spans="7:7" x14ac:dyDescent="0.25">
      <c r="G18" s="122"/>
    </row>
    <row r="19" spans="7:7" x14ac:dyDescent="0.25">
      <c r="G19" s="122"/>
    </row>
    <row r="20" spans="7:7" x14ac:dyDescent="0.25">
      <c r="G20" s="122"/>
    </row>
    <row r="21" spans="7:7" x14ac:dyDescent="0.25">
      <c r="G21" s="122"/>
    </row>
    <row r="22" spans="7:7" x14ac:dyDescent="0.25">
      <c r="G22" s="122"/>
    </row>
    <row r="23" spans="7:7" x14ac:dyDescent="0.25">
      <c r="G23" s="122"/>
    </row>
    <row r="24" spans="7:7" x14ac:dyDescent="0.25">
      <c r="G24" s="122"/>
    </row>
    <row r="25" spans="7:7" x14ac:dyDescent="0.25">
      <c r="G25" s="122"/>
    </row>
    <row r="26" spans="7:7" x14ac:dyDescent="0.25">
      <c r="G26" s="122"/>
    </row>
    <row r="27" spans="7:7" x14ac:dyDescent="0.25">
      <c r="G27" s="122"/>
    </row>
    <row r="28" spans="7:7" x14ac:dyDescent="0.25">
      <c r="G28" s="122"/>
    </row>
    <row r="29" spans="7:7" x14ac:dyDescent="0.25">
      <c r="G29" s="122"/>
    </row>
    <row r="30" spans="7:7" x14ac:dyDescent="0.25">
      <c r="G30" s="122"/>
    </row>
    <row r="31" spans="7:7" x14ac:dyDescent="0.25">
      <c r="G31" s="122"/>
    </row>
    <row r="32" spans="7:7" x14ac:dyDescent="0.25">
      <c r="G32" s="122"/>
    </row>
    <row r="33" spans="7:7" x14ac:dyDescent="0.25">
      <c r="G33" s="122"/>
    </row>
    <row r="34" spans="7:7" x14ac:dyDescent="0.25">
      <c r="G34" s="122"/>
    </row>
    <row r="35" spans="7:7" x14ac:dyDescent="0.25">
      <c r="G35" s="122"/>
    </row>
    <row r="36" spans="7:7" x14ac:dyDescent="0.25">
      <c r="G36" s="122"/>
    </row>
    <row r="37" spans="7:7" x14ac:dyDescent="0.25">
      <c r="G37" s="122"/>
    </row>
    <row r="38" spans="7:7" x14ac:dyDescent="0.25">
      <c r="G38" s="122"/>
    </row>
    <row r="39" spans="7:7" x14ac:dyDescent="0.25">
      <c r="G39" s="122"/>
    </row>
  </sheetData>
  <printOptions gridLines="1"/>
  <pageMargins left="0.7" right="0.7" top="0.75" bottom="0.75" header="0.3" footer="0.3"/>
  <pageSetup paperSize="9" scale="8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M20"/>
  <sheetViews>
    <sheetView view="pageBreakPreview" zoomScaleNormal="100" zoomScaleSheetLayoutView="100" workbookViewId="0"/>
  </sheetViews>
  <sheetFormatPr defaultColWidth="8.85546875" defaultRowHeight="15" x14ac:dyDescent="0.25"/>
  <cols>
    <col min="1" max="1" width="5.85546875" customWidth="1"/>
    <col min="2" max="2" width="6.42578125" customWidth="1"/>
    <col min="3" max="3" width="6.7109375" customWidth="1"/>
    <col min="4" max="4" width="13.140625" customWidth="1"/>
    <col min="5" max="5" width="11.28515625" customWidth="1"/>
    <col min="6" max="6" width="7.42578125" customWidth="1"/>
    <col min="7" max="7" width="6.42578125" customWidth="1"/>
    <col min="8" max="8" width="6" customWidth="1"/>
    <col min="9" max="9" width="6.85546875" customWidth="1"/>
    <col min="10" max="10" width="7.28515625" customWidth="1"/>
    <col min="11" max="11" width="6.42578125" customWidth="1"/>
    <col min="12" max="12" width="28.42578125" customWidth="1"/>
    <col min="13" max="13" width="27.85546875" customWidth="1"/>
    <col min="14" max="14" width="27.42578125" customWidth="1"/>
  </cols>
  <sheetData>
    <row r="1" spans="1:13" ht="15.75" x14ac:dyDescent="0.25">
      <c r="A1" s="7" t="s">
        <v>1275</v>
      </c>
      <c r="B1" s="123"/>
      <c r="C1" s="33"/>
      <c r="D1" s="33"/>
    </row>
    <row r="2" spans="1:13" x14ac:dyDescent="0.25">
      <c r="A2" s="40" t="s">
        <v>585</v>
      </c>
      <c r="B2" s="123"/>
      <c r="C2" s="40"/>
      <c r="D2" s="14"/>
    </row>
    <row r="3" spans="1:13" x14ac:dyDescent="0.25">
      <c r="A3" s="40" t="s">
        <v>963</v>
      </c>
      <c r="B3" s="124"/>
      <c r="C3" s="42"/>
      <c r="D3" s="42"/>
    </row>
    <row r="4" spans="1:13" ht="45" x14ac:dyDescent="0.25">
      <c r="A4" s="19" t="s">
        <v>0</v>
      </c>
      <c r="B4" s="19" t="s">
        <v>1</v>
      </c>
      <c r="C4" s="19" t="s">
        <v>2</v>
      </c>
      <c r="D4" s="19" t="s">
        <v>3</v>
      </c>
      <c r="E4" s="19" t="s">
        <v>4</v>
      </c>
      <c r="F4" s="19" t="s">
        <v>6</v>
      </c>
      <c r="G4" s="51" t="s">
        <v>7</v>
      </c>
      <c r="H4" s="51" t="s">
        <v>8</v>
      </c>
      <c r="I4" s="19" t="s">
        <v>9</v>
      </c>
      <c r="J4" s="19" t="s">
        <v>10</v>
      </c>
      <c r="K4" s="51" t="s">
        <v>46</v>
      </c>
      <c r="L4" s="51" t="s">
        <v>12</v>
      </c>
      <c r="M4" s="19" t="s">
        <v>13</v>
      </c>
    </row>
    <row r="5" spans="1:13" ht="48" customHeight="1" x14ac:dyDescent="0.25">
      <c r="A5" s="33" t="s">
        <v>586</v>
      </c>
      <c r="B5" s="33">
        <v>9.1</v>
      </c>
      <c r="C5" s="33" t="s">
        <v>67</v>
      </c>
      <c r="D5" s="23" t="s">
        <v>587</v>
      </c>
      <c r="E5" s="28" t="s">
        <v>588</v>
      </c>
      <c r="F5" s="28" t="s">
        <v>215</v>
      </c>
      <c r="G5" s="2">
        <v>499</v>
      </c>
      <c r="H5" s="3">
        <v>1</v>
      </c>
      <c r="I5" s="3">
        <v>1</v>
      </c>
      <c r="J5" s="6">
        <f>365/7*8</f>
        <v>417.14285714285717</v>
      </c>
      <c r="K5" s="2">
        <f t="shared" ref="K5:K18" si="0">G5*I5/J5</f>
        <v>1.1962328767123287</v>
      </c>
      <c r="L5" s="28" t="s">
        <v>1012</v>
      </c>
      <c r="M5" s="28" t="s">
        <v>1013</v>
      </c>
    </row>
    <row r="6" spans="1:13" ht="48" customHeight="1" x14ac:dyDescent="0.25">
      <c r="A6" s="33" t="s">
        <v>586</v>
      </c>
      <c r="B6" s="33">
        <v>9.1</v>
      </c>
      <c r="C6" s="33" t="s">
        <v>67</v>
      </c>
      <c r="D6" s="23" t="s">
        <v>587</v>
      </c>
      <c r="E6" s="28" t="s">
        <v>1083</v>
      </c>
      <c r="F6" s="28" t="s">
        <v>215</v>
      </c>
      <c r="G6" s="2">
        <v>199</v>
      </c>
      <c r="H6" s="3">
        <v>1</v>
      </c>
      <c r="I6" s="3">
        <v>1</v>
      </c>
      <c r="J6" s="6">
        <f>365/7*10</f>
        <v>521.42857142857144</v>
      </c>
      <c r="K6" s="2">
        <f t="shared" ref="K6" si="1">G6*I6/J6</f>
        <v>0.38164383561643833</v>
      </c>
      <c r="L6" s="28" t="s">
        <v>1084</v>
      </c>
      <c r="M6" s="28" t="s">
        <v>1085</v>
      </c>
    </row>
    <row r="7" spans="1:13" ht="48" customHeight="1" x14ac:dyDescent="0.25">
      <c r="A7" s="33" t="s">
        <v>586</v>
      </c>
      <c r="B7" s="33">
        <v>9.1</v>
      </c>
      <c r="C7" s="33" t="s">
        <v>67</v>
      </c>
      <c r="D7" s="23" t="s">
        <v>587</v>
      </c>
      <c r="E7" s="28" t="s">
        <v>1087</v>
      </c>
      <c r="F7" s="28" t="s">
        <v>215</v>
      </c>
      <c r="G7" s="2">
        <v>29.99</v>
      </c>
      <c r="H7" s="3">
        <v>1</v>
      </c>
      <c r="I7" s="3">
        <v>1</v>
      </c>
      <c r="J7" s="6">
        <f>365/7*10</f>
        <v>521.42857142857144</v>
      </c>
      <c r="K7" s="2">
        <f>G7*I7/J7</f>
        <v>5.7515068493150683E-2</v>
      </c>
      <c r="L7" s="28"/>
      <c r="M7" s="28" t="s">
        <v>1086</v>
      </c>
    </row>
    <row r="8" spans="1:13" ht="59.25" customHeight="1" x14ac:dyDescent="0.25">
      <c r="A8" s="33" t="s">
        <v>586</v>
      </c>
      <c r="B8" s="33">
        <v>9.1</v>
      </c>
      <c r="C8" s="33" t="s">
        <v>67</v>
      </c>
      <c r="D8" s="1" t="s">
        <v>587</v>
      </c>
      <c r="E8" s="28" t="s">
        <v>597</v>
      </c>
      <c r="F8" s="28" t="s">
        <v>74</v>
      </c>
      <c r="G8" s="2">
        <v>54.99</v>
      </c>
      <c r="H8" s="3">
        <v>1</v>
      </c>
      <c r="I8" s="3">
        <v>2</v>
      </c>
      <c r="J8" s="6">
        <f>365/7*10</f>
        <v>521.42857142857144</v>
      </c>
      <c r="K8" s="2">
        <f t="shared" si="0"/>
        <v>0.21092054794520548</v>
      </c>
      <c r="L8" s="28" t="s">
        <v>1014</v>
      </c>
      <c r="M8" s="125" t="s">
        <v>598</v>
      </c>
    </row>
    <row r="9" spans="1:13" ht="36.75" customHeight="1" x14ac:dyDescent="0.25">
      <c r="A9" s="1" t="s">
        <v>586</v>
      </c>
      <c r="B9" s="28">
        <v>9.1</v>
      </c>
      <c r="C9" s="33" t="s">
        <v>67</v>
      </c>
      <c r="D9" s="1" t="s">
        <v>587</v>
      </c>
      <c r="E9" s="1" t="s">
        <v>589</v>
      </c>
      <c r="F9" s="33" t="s">
        <v>215</v>
      </c>
      <c r="G9" s="2">
        <v>299</v>
      </c>
      <c r="H9" s="3">
        <v>1</v>
      </c>
      <c r="I9" s="3">
        <v>1</v>
      </c>
      <c r="J9" s="6">
        <f>365/7*5</f>
        <v>260.71428571428572</v>
      </c>
      <c r="K9" s="50">
        <f t="shared" si="0"/>
        <v>1.1468493150684931</v>
      </c>
      <c r="L9" s="28" t="s">
        <v>1015</v>
      </c>
      <c r="M9" s="28" t="s">
        <v>1016</v>
      </c>
    </row>
    <row r="10" spans="1:13" ht="36.75" customHeight="1" x14ac:dyDescent="0.25">
      <c r="A10" s="1" t="s">
        <v>586</v>
      </c>
      <c r="B10" s="28">
        <v>9.1</v>
      </c>
      <c r="C10" s="33" t="s">
        <v>67</v>
      </c>
      <c r="D10" s="1" t="s">
        <v>587</v>
      </c>
      <c r="E10" s="84" t="s">
        <v>1017</v>
      </c>
      <c r="F10" s="33" t="s">
        <v>74</v>
      </c>
      <c r="G10" s="2">
        <v>36.99</v>
      </c>
      <c r="H10" s="3">
        <v>1</v>
      </c>
      <c r="I10" s="3">
        <v>1</v>
      </c>
      <c r="J10" s="6">
        <f>365/7*3</f>
        <v>156.42857142857144</v>
      </c>
      <c r="K10" s="50">
        <f t="shared" si="0"/>
        <v>0.23646575342465753</v>
      </c>
      <c r="L10" s="28" t="s">
        <v>1018</v>
      </c>
      <c r="M10" s="28" t="s">
        <v>1019</v>
      </c>
    </row>
    <row r="11" spans="1:13" ht="36.75" customHeight="1" x14ac:dyDescent="0.25">
      <c r="A11" s="1" t="s">
        <v>586</v>
      </c>
      <c r="B11" s="28">
        <v>9.1</v>
      </c>
      <c r="C11" s="33" t="s">
        <v>67</v>
      </c>
      <c r="D11" s="1" t="s">
        <v>587</v>
      </c>
      <c r="E11" s="84" t="s">
        <v>1020</v>
      </c>
      <c r="F11" s="33" t="s">
        <v>1021</v>
      </c>
      <c r="G11" s="2">
        <v>2.99</v>
      </c>
      <c r="H11" s="3">
        <v>1</v>
      </c>
      <c r="I11" s="3">
        <v>1</v>
      </c>
      <c r="J11" s="6">
        <f>365/84</f>
        <v>4.3452380952380949</v>
      </c>
      <c r="K11" s="50">
        <f t="shared" si="0"/>
        <v>0.68810958904109598</v>
      </c>
      <c r="L11" s="28" t="s">
        <v>1022</v>
      </c>
      <c r="M11" s="28" t="s">
        <v>1023</v>
      </c>
    </row>
    <row r="12" spans="1:13" ht="56.25" x14ac:dyDescent="0.25">
      <c r="A12" s="1" t="s">
        <v>586</v>
      </c>
      <c r="B12" s="28">
        <v>9.3000000000000007</v>
      </c>
      <c r="C12" s="33" t="s">
        <v>67</v>
      </c>
      <c r="D12" s="1" t="s">
        <v>599</v>
      </c>
      <c r="E12" s="1" t="s">
        <v>591</v>
      </c>
      <c r="F12" s="28"/>
      <c r="G12" s="2">
        <v>200</v>
      </c>
      <c r="H12" s="3">
        <v>1</v>
      </c>
      <c r="I12" s="3">
        <v>1</v>
      </c>
      <c r="J12" s="6">
        <f>365/7</f>
        <v>52.142857142857146</v>
      </c>
      <c r="K12" s="2">
        <f t="shared" si="0"/>
        <v>3.8356164383561642</v>
      </c>
      <c r="L12" s="28" t="s">
        <v>1024</v>
      </c>
      <c r="M12" s="28"/>
    </row>
    <row r="13" spans="1:13" ht="22.5" x14ac:dyDescent="0.25">
      <c r="A13" s="33" t="s">
        <v>586</v>
      </c>
      <c r="B13" s="33">
        <v>9.3000000000000007</v>
      </c>
      <c r="C13" s="33" t="s">
        <v>67</v>
      </c>
      <c r="D13" s="1" t="s">
        <v>590</v>
      </c>
      <c r="E13" s="1" t="s">
        <v>591</v>
      </c>
      <c r="F13" s="28"/>
      <c r="G13" s="2">
        <v>360</v>
      </c>
      <c r="H13" s="3">
        <v>12</v>
      </c>
      <c r="I13" s="3">
        <v>1</v>
      </c>
      <c r="J13" s="6">
        <f>365/7</f>
        <v>52.142857142857146</v>
      </c>
      <c r="K13" s="2">
        <f t="shared" si="0"/>
        <v>6.9041095890410951</v>
      </c>
      <c r="L13" s="28" t="s">
        <v>1025</v>
      </c>
      <c r="M13" s="28"/>
    </row>
    <row r="14" spans="1:13" ht="22.5" x14ac:dyDescent="0.25">
      <c r="A14" s="1" t="s">
        <v>586</v>
      </c>
      <c r="B14" s="28">
        <v>9.3000000000000007</v>
      </c>
      <c r="C14" s="33" t="s">
        <v>67</v>
      </c>
      <c r="D14" s="1" t="s">
        <v>592</v>
      </c>
      <c r="E14" s="1" t="s">
        <v>591</v>
      </c>
      <c r="F14" s="28"/>
      <c r="G14" s="2">
        <v>360</v>
      </c>
      <c r="H14" s="3">
        <v>12</v>
      </c>
      <c r="I14" s="3">
        <v>1</v>
      </c>
      <c r="J14" s="6">
        <f>365/7</f>
        <v>52.142857142857146</v>
      </c>
      <c r="K14" s="2">
        <f t="shared" si="0"/>
        <v>6.9041095890410951</v>
      </c>
      <c r="L14" s="28" t="s">
        <v>1025</v>
      </c>
      <c r="M14" s="126"/>
    </row>
    <row r="15" spans="1:13" ht="26.25" customHeight="1" x14ac:dyDescent="0.25">
      <c r="A15" s="1" t="s">
        <v>586</v>
      </c>
      <c r="B15" s="28">
        <v>9.3000000000000007</v>
      </c>
      <c r="C15" s="33" t="s">
        <v>67</v>
      </c>
      <c r="D15" s="1" t="s">
        <v>595</v>
      </c>
      <c r="E15" s="28" t="s">
        <v>596</v>
      </c>
      <c r="F15" s="33"/>
      <c r="G15" s="2">
        <v>200</v>
      </c>
      <c r="H15" s="3">
        <v>1</v>
      </c>
      <c r="I15" s="3">
        <v>1</v>
      </c>
      <c r="J15" s="6">
        <f>365/7</f>
        <v>52.142857142857146</v>
      </c>
      <c r="K15" s="2">
        <f t="shared" si="0"/>
        <v>3.8356164383561642</v>
      </c>
      <c r="L15" s="28" t="s">
        <v>1026</v>
      </c>
      <c r="M15" s="126"/>
    </row>
    <row r="16" spans="1:13" ht="69" customHeight="1" x14ac:dyDescent="0.25">
      <c r="A16" s="1" t="s">
        <v>1060</v>
      </c>
      <c r="B16" s="28">
        <v>9.3000000000000007</v>
      </c>
      <c r="C16" s="33" t="s">
        <v>67</v>
      </c>
      <c r="D16" s="1" t="s">
        <v>1062</v>
      </c>
      <c r="E16" s="28" t="s">
        <v>596</v>
      </c>
      <c r="F16" s="33"/>
      <c r="G16" s="2">
        <v>1000</v>
      </c>
      <c r="H16" s="3">
        <v>1</v>
      </c>
      <c r="I16" s="3">
        <v>1</v>
      </c>
      <c r="J16" s="6">
        <f>365/7</f>
        <v>52.142857142857146</v>
      </c>
      <c r="K16" s="2">
        <f t="shared" si="0"/>
        <v>19.17808219178082</v>
      </c>
      <c r="L16" s="28" t="s">
        <v>1061</v>
      </c>
      <c r="M16" s="126"/>
    </row>
    <row r="17" spans="1:13" ht="48.75" customHeight="1" x14ac:dyDescent="0.25">
      <c r="A17" s="1" t="s">
        <v>586</v>
      </c>
      <c r="B17" s="28">
        <v>9.3000000000000007</v>
      </c>
      <c r="C17" s="33" t="s">
        <v>67</v>
      </c>
      <c r="D17" s="1" t="s">
        <v>600</v>
      </c>
      <c r="E17" s="1" t="s">
        <v>593</v>
      </c>
      <c r="F17" s="28"/>
      <c r="G17" s="2">
        <v>50</v>
      </c>
      <c r="H17" s="3">
        <v>1</v>
      </c>
      <c r="I17" s="3">
        <v>1</v>
      </c>
      <c r="J17" s="6">
        <f>365/7*10</f>
        <v>521.42857142857144</v>
      </c>
      <c r="K17" s="50">
        <f t="shared" si="0"/>
        <v>9.5890410958904104E-2</v>
      </c>
      <c r="L17" s="28" t="s">
        <v>1027</v>
      </c>
      <c r="M17" s="28"/>
    </row>
    <row r="18" spans="1:13" ht="33.75" x14ac:dyDescent="0.25">
      <c r="A18" s="1" t="s">
        <v>586</v>
      </c>
      <c r="B18" s="28">
        <v>9.5</v>
      </c>
      <c r="C18" s="33" t="s">
        <v>67</v>
      </c>
      <c r="D18" s="1" t="s">
        <v>601</v>
      </c>
      <c r="E18" s="1" t="s">
        <v>594</v>
      </c>
      <c r="F18" s="28"/>
      <c r="G18" s="2">
        <v>15</v>
      </c>
      <c r="H18" s="3">
        <v>1</v>
      </c>
      <c r="I18" s="3">
        <v>1</v>
      </c>
      <c r="J18" s="6">
        <f>365/7</f>
        <v>52.142857142857146</v>
      </c>
      <c r="K18" s="2">
        <f t="shared" si="0"/>
        <v>0.28767123287671231</v>
      </c>
      <c r="L18" s="28" t="s">
        <v>602</v>
      </c>
      <c r="M18" s="28"/>
    </row>
    <row r="20" spans="1:13" x14ac:dyDescent="0.25">
      <c r="D20" s="24" t="s">
        <v>995</v>
      </c>
      <c r="E20" s="39">
        <f>SUM(K5:K18)</f>
        <v>44.958832876712322</v>
      </c>
    </row>
  </sheetData>
  <phoneticPr fontId="23" type="noConversion"/>
  <printOptions gridLines="1"/>
  <pageMargins left="0.7" right="0.7" top="0.75" bottom="0.75" header="0.3" footer="0.3"/>
  <pageSetup paperSize="9" scale="7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20"/>
  <sheetViews>
    <sheetView view="pageBreakPreview" zoomScaleNormal="80" zoomScaleSheetLayoutView="100" workbookViewId="0"/>
  </sheetViews>
  <sheetFormatPr defaultColWidth="8.85546875" defaultRowHeight="15" x14ac:dyDescent="0.25"/>
  <cols>
    <col min="1" max="1" width="6" customWidth="1"/>
    <col min="2" max="2" width="7.28515625" customWidth="1"/>
    <col min="3" max="3" width="6.8554687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ht="15.75" x14ac:dyDescent="0.25">
      <c r="A1" s="7" t="s">
        <v>1275</v>
      </c>
      <c r="B1" s="40"/>
      <c r="C1" s="33"/>
    </row>
    <row r="2" spans="1:13" x14ac:dyDescent="0.25">
      <c r="A2" s="40" t="s">
        <v>585</v>
      </c>
      <c r="B2" s="40"/>
      <c r="C2" s="40"/>
    </row>
    <row r="3" spans="1:13" x14ac:dyDescent="0.25">
      <c r="A3" s="40" t="s">
        <v>963</v>
      </c>
      <c r="B3" s="40"/>
      <c r="C3" s="40"/>
    </row>
    <row r="4" spans="1:13" ht="22.5" x14ac:dyDescent="0.25">
      <c r="A4" s="19" t="s">
        <v>0</v>
      </c>
      <c r="B4" s="19" t="s">
        <v>1</v>
      </c>
      <c r="C4" s="19" t="s">
        <v>2</v>
      </c>
      <c r="D4" s="19" t="s">
        <v>3</v>
      </c>
      <c r="E4" s="19" t="s">
        <v>4</v>
      </c>
      <c r="F4" s="19" t="s">
        <v>6</v>
      </c>
      <c r="G4" s="51" t="s">
        <v>7</v>
      </c>
      <c r="H4" s="51" t="s">
        <v>8</v>
      </c>
      <c r="I4" s="19" t="s">
        <v>9</v>
      </c>
      <c r="J4" s="19" t="s">
        <v>10</v>
      </c>
      <c r="K4" s="51" t="s">
        <v>46</v>
      </c>
      <c r="L4" s="51" t="s">
        <v>12</v>
      </c>
      <c r="M4" s="19" t="s">
        <v>13</v>
      </c>
    </row>
    <row r="5" spans="1:13" ht="47.1" customHeight="1" x14ac:dyDescent="0.25">
      <c r="A5" s="33" t="s">
        <v>39</v>
      </c>
      <c r="B5" s="33">
        <v>9.4</v>
      </c>
      <c r="C5" s="42" t="s">
        <v>67</v>
      </c>
      <c r="D5" s="33" t="s">
        <v>603</v>
      </c>
      <c r="E5" s="33" t="s">
        <v>603</v>
      </c>
      <c r="F5" s="33" t="s">
        <v>604</v>
      </c>
      <c r="G5" s="81">
        <v>159</v>
      </c>
      <c r="H5" s="60">
        <v>1</v>
      </c>
      <c r="I5" s="88">
        <v>1</v>
      </c>
      <c r="J5" s="88">
        <f>365/7</f>
        <v>52.142857142857146</v>
      </c>
      <c r="K5" s="79">
        <f>G5*I5/J5</f>
        <v>3.0493150684931507</v>
      </c>
      <c r="L5" s="33"/>
      <c r="M5" s="28" t="s">
        <v>1028</v>
      </c>
    </row>
    <row r="6" spans="1:13" ht="64.349999999999994" customHeight="1" x14ac:dyDescent="0.25">
      <c r="A6" s="42" t="s">
        <v>605</v>
      </c>
      <c r="B6" s="42">
        <v>8.3000000000000007</v>
      </c>
      <c r="C6" s="42" t="s">
        <v>67</v>
      </c>
      <c r="D6" s="1" t="s">
        <v>607</v>
      </c>
      <c r="E6" s="1" t="s">
        <v>606</v>
      </c>
      <c r="F6" s="1" t="s">
        <v>1029</v>
      </c>
      <c r="G6" s="2">
        <v>0</v>
      </c>
      <c r="H6" s="3">
        <v>1</v>
      </c>
      <c r="I6" s="3">
        <v>1</v>
      </c>
      <c r="J6" s="6">
        <v>0</v>
      </c>
      <c r="K6" s="2">
        <v>0</v>
      </c>
      <c r="L6" s="60" t="s">
        <v>1030</v>
      </c>
      <c r="M6" s="74" t="s">
        <v>1031</v>
      </c>
    </row>
    <row r="7" spans="1:13" ht="53.45" customHeight="1" x14ac:dyDescent="0.25">
      <c r="A7" s="23" t="s">
        <v>605</v>
      </c>
      <c r="B7" s="14">
        <v>9.4</v>
      </c>
      <c r="C7" s="42" t="s">
        <v>67</v>
      </c>
      <c r="D7" s="23" t="s">
        <v>1032</v>
      </c>
      <c r="E7" s="1" t="s">
        <v>608</v>
      </c>
      <c r="F7" s="1" t="s">
        <v>609</v>
      </c>
      <c r="G7" s="79">
        <v>6.99</v>
      </c>
      <c r="H7" s="77">
        <v>1</v>
      </c>
      <c r="I7" s="77">
        <v>1</v>
      </c>
      <c r="J7" s="114">
        <f>365/84*1</f>
        <v>4.3452380952380949</v>
      </c>
      <c r="K7" s="79">
        <f t="shared" ref="K7:K14" si="0">G7*I7/J7</f>
        <v>1.6086575342465754</v>
      </c>
      <c r="L7" s="127"/>
      <c r="M7" s="74" t="s">
        <v>610</v>
      </c>
    </row>
    <row r="8" spans="1:13" ht="53.45" customHeight="1" x14ac:dyDescent="0.25">
      <c r="A8" s="23" t="s">
        <v>605</v>
      </c>
      <c r="B8" s="14">
        <v>9.4</v>
      </c>
      <c r="C8" s="42" t="s">
        <v>67</v>
      </c>
      <c r="D8" s="23" t="s">
        <v>1032</v>
      </c>
      <c r="E8" s="1" t="s">
        <v>1033</v>
      </c>
      <c r="F8" s="1" t="s">
        <v>1034</v>
      </c>
      <c r="G8" s="79">
        <v>8.99</v>
      </c>
      <c r="H8" s="77">
        <v>1</v>
      </c>
      <c r="I8" s="77">
        <v>1</v>
      </c>
      <c r="J8" s="114">
        <f>365/84*1</f>
        <v>4.3452380952380949</v>
      </c>
      <c r="K8" s="79">
        <f t="shared" si="0"/>
        <v>2.0689315068493155</v>
      </c>
      <c r="L8" s="127"/>
      <c r="M8" s="74" t="s">
        <v>1035</v>
      </c>
    </row>
    <row r="9" spans="1:13" ht="68.099999999999994" customHeight="1" x14ac:dyDescent="0.25">
      <c r="A9" s="60" t="s">
        <v>605</v>
      </c>
      <c r="B9" s="42">
        <v>9.4</v>
      </c>
      <c r="C9" s="54" t="s">
        <v>66</v>
      </c>
      <c r="D9" s="60" t="s">
        <v>607</v>
      </c>
      <c r="E9" s="60" t="s">
        <v>611</v>
      </c>
      <c r="F9" s="42"/>
      <c r="G9" s="128">
        <v>40</v>
      </c>
      <c r="H9" s="105">
        <v>1</v>
      </c>
      <c r="I9" s="105">
        <v>2</v>
      </c>
      <c r="J9" s="129">
        <v>1</v>
      </c>
      <c r="K9" s="79">
        <f t="shared" si="0"/>
        <v>80</v>
      </c>
      <c r="L9" s="42" t="s">
        <v>1036</v>
      </c>
      <c r="M9" s="130"/>
    </row>
    <row r="10" spans="1:13" ht="45.6" customHeight="1" x14ac:dyDescent="0.25">
      <c r="A10" s="54" t="s">
        <v>612</v>
      </c>
      <c r="B10" s="54">
        <v>9.6</v>
      </c>
      <c r="C10" s="54" t="s">
        <v>67</v>
      </c>
      <c r="D10" s="54" t="s">
        <v>615</v>
      </c>
      <c r="E10" s="42" t="s">
        <v>615</v>
      </c>
      <c r="F10" s="42" t="s">
        <v>1141</v>
      </c>
      <c r="G10" s="131">
        <v>1041.44</v>
      </c>
      <c r="H10" s="132">
        <v>1</v>
      </c>
      <c r="I10" s="133">
        <v>2</v>
      </c>
      <c r="J10" s="93">
        <f>365/7</f>
        <v>52.142857142857146</v>
      </c>
      <c r="K10" s="2">
        <f t="shared" si="0"/>
        <v>39.945643835616437</v>
      </c>
      <c r="L10" s="42" t="s">
        <v>1038</v>
      </c>
      <c r="M10" s="49" t="s">
        <v>1037</v>
      </c>
    </row>
    <row r="11" spans="1:13" ht="32.450000000000003" customHeight="1" x14ac:dyDescent="0.25">
      <c r="A11" s="54" t="s">
        <v>612</v>
      </c>
      <c r="B11" s="54">
        <v>9.6</v>
      </c>
      <c r="C11" s="54" t="s">
        <v>66</v>
      </c>
      <c r="D11" s="54" t="s">
        <v>615</v>
      </c>
      <c r="E11" s="1" t="s">
        <v>615</v>
      </c>
      <c r="F11" s="28"/>
      <c r="G11" s="79">
        <v>369</v>
      </c>
      <c r="H11" s="77">
        <v>1</v>
      </c>
      <c r="I11" s="77">
        <v>1</v>
      </c>
      <c r="J11" s="129">
        <f>365/7</f>
        <v>52.142857142857146</v>
      </c>
      <c r="K11" s="79">
        <f t="shared" si="0"/>
        <v>7.0767123287671225</v>
      </c>
      <c r="L11" s="28" t="s">
        <v>1039</v>
      </c>
      <c r="M11" s="28" t="s">
        <v>1040</v>
      </c>
    </row>
    <row r="12" spans="1:13" ht="32.450000000000003" customHeight="1" x14ac:dyDescent="0.25">
      <c r="A12" s="54" t="s">
        <v>612</v>
      </c>
      <c r="B12" s="54">
        <v>9.4</v>
      </c>
      <c r="C12" s="54" t="s">
        <v>66</v>
      </c>
      <c r="D12" s="54" t="s">
        <v>1041</v>
      </c>
      <c r="E12" s="1" t="s">
        <v>1042</v>
      </c>
      <c r="F12" s="28"/>
      <c r="G12" s="79">
        <v>300</v>
      </c>
      <c r="H12" s="77"/>
      <c r="I12" s="77">
        <v>1</v>
      </c>
      <c r="J12" s="114">
        <f>365/7</f>
        <v>52.142857142857146</v>
      </c>
      <c r="K12" s="2">
        <f t="shared" si="0"/>
        <v>5.7534246575342465</v>
      </c>
      <c r="L12" s="28" t="s">
        <v>1043</v>
      </c>
      <c r="M12" s="126"/>
    </row>
    <row r="13" spans="1:13" ht="39.6" customHeight="1" x14ac:dyDescent="0.25">
      <c r="A13" s="111" t="s">
        <v>605</v>
      </c>
      <c r="B13" s="111">
        <v>12.7</v>
      </c>
      <c r="C13" s="54" t="s">
        <v>67</v>
      </c>
      <c r="D13" s="42" t="s">
        <v>613</v>
      </c>
      <c r="E13" s="33" t="s">
        <v>614</v>
      </c>
      <c r="F13" s="33"/>
      <c r="G13" s="2">
        <v>93</v>
      </c>
      <c r="H13" s="3">
        <v>1</v>
      </c>
      <c r="I13" s="3">
        <v>2</v>
      </c>
      <c r="J13" s="6">
        <f>365/7*10</f>
        <v>521.42857142857144</v>
      </c>
      <c r="K13" s="2">
        <f t="shared" si="0"/>
        <v>0.35671232876712328</v>
      </c>
      <c r="L13" s="33" t="s">
        <v>1044</v>
      </c>
      <c r="M13" s="28" t="s">
        <v>616</v>
      </c>
    </row>
    <row r="14" spans="1:13" ht="26.45" customHeight="1" x14ac:dyDescent="0.25">
      <c r="A14" s="111" t="s">
        <v>605</v>
      </c>
      <c r="B14" s="111">
        <v>12.7</v>
      </c>
      <c r="C14" s="54" t="s">
        <v>67</v>
      </c>
      <c r="D14" s="49" t="s">
        <v>613</v>
      </c>
      <c r="E14" s="111" t="s">
        <v>617</v>
      </c>
      <c r="F14" s="49" t="s">
        <v>618</v>
      </c>
      <c r="G14" s="134">
        <v>6</v>
      </c>
      <c r="H14" s="111"/>
      <c r="I14" s="135">
        <v>2</v>
      </c>
      <c r="J14" s="136">
        <f>365/7*10</f>
        <v>521.42857142857144</v>
      </c>
      <c r="K14" s="2">
        <f t="shared" si="0"/>
        <v>2.3013698630136987E-2</v>
      </c>
      <c r="L14" s="42" t="s">
        <v>1045</v>
      </c>
      <c r="M14" s="42" t="s">
        <v>619</v>
      </c>
    </row>
    <row r="16" spans="1:13" x14ac:dyDescent="0.25">
      <c r="D16" s="24"/>
    </row>
    <row r="17" spans="4:5" x14ac:dyDescent="0.25">
      <c r="D17" s="24" t="s">
        <v>997</v>
      </c>
      <c r="E17" s="48">
        <f>SUM(K6+K7+K8+K9+K13+K14)</f>
        <v>84.057315068493139</v>
      </c>
    </row>
    <row r="18" spans="4:5" x14ac:dyDescent="0.25">
      <c r="D18" s="24" t="s">
        <v>998</v>
      </c>
      <c r="E18" s="48">
        <f>K5</f>
        <v>3.0493150684931507</v>
      </c>
    </row>
    <row r="19" spans="4:5" x14ac:dyDescent="0.25">
      <c r="D19" s="24" t="s">
        <v>999</v>
      </c>
      <c r="E19" s="48">
        <f>K10</f>
        <v>39.945643835616437</v>
      </c>
    </row>
    <row r="20" spans="4:5" x14ac:dyDescent="0.25">
      <c r="D20" s="24" t="s">
        <v>1000</v>
      </c>
      <c r="E20" s="48">
        <f>SUM(K11:K12)</f>
        <v>12.830136986301369</v>
      </c>
    </row>
  </sheetData>
  <printOptions gridLine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110"/>
  <sheetViews>
    <sheetView view="pageBreakPreview" zoomScale="110" zoomScaleNormal="100" zoomScaleSheetLayoutView="100" workbookViewId="0"/>
  </sheetViews>
  <sheetFormatPr defaultColWidth="8.7109375" defaultRowHeight="15" x14ac:dyDescent="0.25"/>
  <cols>
    <col min="1" max="1" width="6.140625" style="12" customWidth="1"/>
    <col min="2" max="2" width="7.140625" style="12" customWidth="1"/>
    <col min="3" max="3" width="7.42578125" style="12" customWidth="1"/>
    <col min="4" max="4" width="22" style="13" customWidth="1"/>
    <col min="5" max="5" width="14.42578125" style="12" customWidth="1"/>
    <col min="6" max="6" width="10" style="12" customWidth="1"/>
    <col min="7" max="7" width="8.42578125" style="12" customWidth="1"/>
    <col min="8" max="8" width="8.28515625" style="12" customWidth="1"/>
    <col min="9" max="9" width="8" style="12" customWidth="1"/>
    <col min="10" max="10" width="10.42578125" style="12" customWidth="1"/>
    <col min="11" max="11" width="8.42578125" style="12" customWidth="1"/>
    <col min="12" max="12" width="27.85546875" style="12" customWidth="1"/>
    <col min="13" max="13" width="30.42578125" style="12" customWidth="1"/>
    <col min="14" max="14" width="39.85546875" style="14" customWidth="1"/>
    <col min="20" max="20" width="9.42578125" bestFit="1" customWidth="1"/>
    <col min="21" max="21" width="10.42578125" bestFit="1" customWidth="1"/>
    <col min="23" max="16384" width="8.7109375" style="12"/>
  </cols>
  <sheetData>
    <row r="1" spans="1:22" ht="15.75" x14ac:dyDescent="0.25">
      <c r="A1" s="7" t="s">
        <v>1275</v>
      </c>
    </row>
    <row r="2" spans="1:22" x14ac:dyDescent="0.25">
      <c r="A2" s="11" t="s">
        <v>964</v>
      </c>
      <c r="N2" s="15"/>
      <c r="P2" s="16"/>
    </row>
    <row r="3" spans="1:22" x14ac:dyDescent="0.25">
      <c r="A3" s="11" t="s">
        <v>965</v>
      </c>
      <c r="N3" s="15"/>
      <c r="P3" s="16"/>
    </row>
    <row r="4" spans="1:22" s="22" customFormat="1" ht="22.5" x14ac:dyDescent="0.2">
      <c r="A4" s="17" t="s">
        <v>0</v>
      </c>
      <c r="B4" s="17" t="s">
        <v>1</v>
      </c>
      <c r="C4" s="17" t="s">
        <v>2</v>
      </c>
      <c r="D4" s="17" t="s">
        <v>4</v>
      </c>
      <c r="E4" s="17" t="s">
        <v>5</v>
      </c>
      <c r="F4" s="17" t="s">
        <v>6</v>
      </c>
      <c r="G4" s="18" t="s">
        <v>7</v>
      </c>
      <c r="H4" s="18" t="s">
        <v>8</v>
      </c>
      <c r="I4" s="17" t="s">
        <v>9</v>
      </c>
      <c r="J4" s="19" t="s">
        <v>10</v>
      </c>
      <c r="K4" s="18" t="s">
        <v>11</v>
      </c>
      <c r="L4" s="18" t="s">
        <v>12</v>
      </c>
      <c r="M4" s="17" t="s">
        <v>13</v>
      </c>
      <c r="N4" s="20"/>
      <c r="O4" s="21"/>
      <c r="P4" s="14"/>
      <c r="Q4" s="14"/>
      <c r="R4" s="21"/>
      <c r="S4" s="21"/>
      <c r="T4" s="21"/>
      <c r="U4" s="21"/>
      <c r="V4" s="21"/>
    </row>
    <row r="5" spans="1:22" s="24" customFormat="1" ht="21.6" customHeight="1" x14ac:dyDescent="0.25">
      <c r="A5" s="23" t="s">
        <v>647</v>
      </c>
      <c r="B5" s="14">
        <v>1.1000000000000001</v>
      </c>
      <c r="C5" s="23" t="s">
        <v>67</v>
      </c>
      <c r="D5" s="14" t="s">
        <v>656</v>
      </c>
      <c r="E5" s="24" t="s">
        <v>657</v>
      </c>
      <c r="F5" s="24" t="s">
        <v>28</v>
      </c>
      <c r="G5" s="25">
        <v>3.5</v>
      </c>
      <c r="H5" s="26">
        <v>24</v>
      </c>
      <c r="I5" s="26">
        <v>1</v>
      </c>
      <c r="J5" s="27">
        <v>2.4</v>
      </c>
      <c r="K5" s="2">
        <f t="shared" ref="K5:K66" si="0">G5*I5/J5</f>
        <v>1.4583333333333335</v>
      </c>
      <c r="L5" s="28" t="s">
        <v>726</v>
      </c>
      <c r="M5" s="28" t="s">
        <v>727</v>
      </c>
      <c r="N5" s="23"/>
      <c r="O5"/>
      <c r="P5"/>
      <c r="Q5"/>
      <c r="R5"/>
      <c r="S5"/>
      <c r="T5"/>
      <c r="U5"/>
      <c r="V5"/>
    </row>
    <row r="6" spans="1:22" s="24" customFormat="1" ht="22.5" x14ac:dyDescent="0.25">
      <c r="A6" s="23" t="s">
        <v>647</v>
      </c>
      <c r="B6" s="14">
        <v>1.1000000000000001</v>
      </c>
      <c r="C6" s="23" t="s">
        <v>67</v>
      </c>
      <c r="D6" s="28" t="s">
        <v>728</v>
      </c>
      <c r="E6" s="24" t="s">
        <v>28</v>
      </c>
      <c r="F6" s="24" t="s">
        <v>28</v>
      </c>
      <c r="G6" s="25">
        <v>1.45</v>
      </c>
      <c r="H6" s="26" t="s">
        <v>729</v>
      </c>
      <c r="I6" s="26">
        <v>2</v>
      </c>
      <c r="J6" s="27">
        <v>1.03</v>
      </c>
      <c r="K6" s="2">
        <f t="shared" si="0"/>
        <v>2.8155339805825239</v>
      </c>
      <c r="L6" s="28" t="s">
        <v>730</v>
      </c>
      <c r="M6" s="28" t="s">
        <v>651</v>
      </c>
      <c r="N6" s="23"/>
      <c r="O6"/>
      <c r="P6"/>
      <c r="Q6"/>
      <c r="R6"/>
      <c r="S6"/>
      <c r="T6"/>
      <c r="U6"/>
      <c r="V6"/>
    </row>
    <row r="7" spans="1:22" s="24" customFormat="1" ht="22.5" x14ac:dyDescent="0.25">
      <c r="A7" s="23" t="s">
        <v>647</v>
      </c>
      <c r="B7" s="14">
        <v>1.1000000000000001</v>
      </c>
      <c r="C7" s="23" t="s">
        <v>67</v>
      </c>
      <c r="D7" s="28" t="s">
        <v>658</v>
      </c>
      <c r="E7" s="14" t="s">
        <v>1089</v>
      </c>
      <c r="F7" s="14" t="s">
        <v>28</v>
      </c>
      <c r="G7" s="29">
        <v>1.39</v>
      </c>
      <c r="H7" s="30">
        <v>18</v>
      </c>
      <c r="I7" s="26">
        <v>2</v>
      </c>
      <c r="J7" s="27">
        <v>1.24</v>
      </c>
      <c r="K7" s="2">
        <f>G7*I7/J7</f>
        <v>2.2419354838709675</v>
      </c>
      <c r="L7" s="28" t="s">
        <v>731</v>
      </c>
      <c r="M7" s="14" t="s">
        <v>1088</v>
      </c>
      <c r="N7" s="23"/>
      <c r="O7"/>
      <c r="P7"/>
      <c r="Q7"/>
      <c r="R7"/>
      <c r="S7"/>
      <c r="T7"/>
      <c r="U7"/>
      <c r="V7"/>
    </row>
    <row r="8" spans="1:22" s="24" customFormat="1" ht="22.5" x14ac:dyDescent="0.25">
      <c r="A8" s="23" t="s">
        <v>647</v>
      </c>
      <c r="B8" s="14">
        <v>1.1000000000000001</v>
      </c>
      <c r="C8" s="23" t="s">
        <v>67</v>
      </c>
      <c r="D8" s="28" t="s">
        <v>732</v>
      </c>
      <c r="E8" s="24" t="s">
        <v>710</v>
      </c>
      <c r="F8" s="24" t="s">
        <v>28</v>
      </c>
      <c r="G8" s="25">
        <v>3.25</v>
      </c>
      <c r="H8" s="26" t="s">
        <v>1090</v>
      </c>
      <c r="I8" s="26">
        <v>1</v>
      </c>
      <c r="J8" s="27">
        <f>1000/424</f>
        <v>2.358490566037736</v>
      </c>
      <c r="K8" s="2">
        <f t="shared" si="0"/>
        <v>1.3779999999999999</v>
      </c>
      <c r="L8" s="28" t="s">
        <v>733</v>
      </c>
      <c r="M8" s="28" t="s">
        <v>1091</v>
      </c>
      <c r="N8" s="23"/>
      <c r="O8"/>
      <c r="P8"/>
      <c r="Q8"/>
      <c r="R8"/>
      <c r="S8"/>
      <c r="T8"/>
      <c r="U8"/>
      <c r="V8"/>
    </row>
    <row r="9" spans="1:22" s="24" customFormat="1" x14ac:dyDescent="0.25">
      <c r="A9" s="23" t="s">
        <v>647</v>
      </c>
      <c r="B9" s="14">
        <v>1.1000000000000001</v>
      </c>
      <c r="C9" s="23" t="s">
        <v>67</v>
      </c>
      <c r="D9" s="28" t="s">
        <v>734</v>
      </c>
      <c r="E9" s="24" t="s">
        <v>28</v>
      </c>
      <c r="F9" s="24" t="s">
        <v>28</v>
      </c>
      <c r="G9" s="25">
        <v>0.99</v>
      </c>
      <c r="H9" s="26" t="s">
        <v>665</v>
      </c>
      <c r="I9" s="26">
        <v>1</v>
      </c>
      <c r="J9" s="27">
        <v>6</v>
      </c>
      <c r="K9" s="2">
        <f t="shared" si="0"/>
        <v>0.16500000000000001</v>
      </c>
      <c r="L9" s="28" t="s">
        <v>681</v>
      </c>
      <c r="M9" s="28" t="s">
        <v>735</v>
      </c>
      <c r="N9" s="23"/>
      <c r="O9"/>
      <c r="P9"/>
      <c r="Q9"/>
      <c r="R9"/>
      <c r="S9"/>
      <c r="T9"/>
      <c r="U9"/>
      <c r="V9"/>
    </row>
    <row r="10" spans="1:22" s="24" customFormat="1" ht="19.5" customHeight="1" x14ac:dyDescent="0.25">
      <c r="A10" s="23" t="s">
        <v>647</v>
      </c>
      <c r="B10" s="14">
        <v>1.1000000000000001</v>
      </c>
      <c r="C10" s="23" t="s">
        <v>67</v>
      </c>
      <c r="D10" s="28" t="s">
        <v>649</v>
      </c>
      <c r="E10" s="24" t="s">
        <v>28</v>
      </c>
      <c r="F10" s="24" t="s">
        <v>28</v>
      </c>
      <c r="G10" s="25">
        <v>5.5</v>
      </c>
      <c r="H10" s="26" t="s">
        <v>650</v>
      </c>
      <c r="I10" s="26">
        <v>1</v>
      </c>
      <c r="J10" s="27">
        <v>1.43</v>
      </c>
      <c r="K10" s="2">
        <f t="shared" si="0"/>
        <v>3.8461538461538463</v>
      </c>
      <c r="L10" s="28" t="s">
        <v>736</v>
      </c>
      <c r="M10" s="28" t="s">
        <v>1092</v>
      </c>
      <c r="N10" s="23"/>
      <c r="O10"/>
      <c r="P10"/>
      <c r="Q10"/>
      <c r="R10"/>
      <c r="S10"/>
      <c r="T10"/>
      <c r="U10"/>
      <c r="V10"/>
    </row>
    <row r="11" spans="1:22" s="24" customFormat="1" ht="22.5" x14ac:dyDescent="0.25">
      <c r="A11" s="23" t="s">
        <v>647</v>
      </c>
      <c r="B11" s="14">
        <v>1.1000000000000001</v>
      </c>
      <c r="C11" s="23" t="s">
        <v>67</v>
      </c>
      <c r="D11" s="28" t="s">
        <v>737</v>
      </c>
      <c r="E11" s="24" t="s">
        <v>28</v>
      </c>
      <c r="F11" s="24" t="s">
        <v>28</v>
      </c>
      <c r="G11" s="25">
        <v>1.2</v>
      </c>
      <c r="H11" s="26" t="s">
        <v>653</v>
      </c>
      <c r="I11" s="26">
        <v>3</v>
      </c>
      <c r="J11" s="27">
        <v>1.34</v>
      </c>
      <c r="K11" s="2">
        <f t="shared" si="0"/>
        <v>2.6865671641791042</v>
      </c>
      <c r="L11" s="28" t="s">
        <v>738</v>
      </c>
      <c r="M11" s="28" t="s">
        <v>654</v>
      </c>
      <c r="N11" s="23"/>
      <c r="O11"/>
      <c r="P11"/>
      <c r="Q11"/>
      <c r="R11"/>
      <c r="S11"/>
      <c r="T11"/>
      <c r="U11"/>
      <c r="V11"/>
    </row>
    <row r="12" spans="1:22" s="24" customFormat="1" ht="22.5" x14ac:dyDescent="0.25">
      <c r="A12" s="23" t="s">
        <v>647</v>
      </c>
      <c r="B12" s="14">
        <v>1.1000000000000001</v>
      </c>
      <c r="C12" s="23" t="s">
        <v>67</v>
      </c>
      <c r="D12" s="28" t="s">
        <v>739</v>
      </c>
      <c r="E12" s="24" t="s">
        <v>28</v>
      </c>
      <c r="F12" s="24" t="s">
        <v>28</v>
      </c>
      <c r="G12" s="25">
        <v>2</v>
      </c>
      <c r="H12" s="26" t="s">
        <v>663</v>
      </c>
      <c r="I12" s="26">
        <v>1</v>
      </c>
      <c r="J12" s="27">
        <v>1.79</v>
      </c>
      <c r="K12" s="2">
        <f t="shared" si="0"/>
        <v>1.1173184357541899</v>
      </c>
      <c r="L12" s="28" t="s">
        <v>740</v>
      </c>
      <c r="M12" s="28" t="s">
        <v>1093</v>
      </c>
      <c r="N12" s="23"/>
      <c r="O12"/>
      <c r="P12"/>
      <c r="Q12"/>
      <c r="R12"/>
      <c r="S12"/>
      <c r="T12"/>
      <c r="U12"/>
      <c r="V12"/>
    </row>
    <row r="13" spans="1:22" s="24" customFormat="1" ht="17.100000000000001" customHeight="1" x14ac:dyDescent="0.25">
      <c r="A13" s="23" t="s">
        <v>647</v>
      </c>
      <c r="B13" s="14">
        <v>1.1000000000000001</v>
      </c>
      <c r="C13" s="23" t="s">
        <v>67</v>
      </c>
      <c r="D13" s="28" t="s">
        <v>741</v>
      </c>
      <c r="E13" s="24" t="s">
        <v>28</v>
      </c>
      <c r="F13" s="24" t="s">
        <v>28</v>
      </c>
      <c r="G13" s="25">
        <v>1.7</v>
      </c>
      <c r="H13" s="26">
        <v>2</v>
      </c>
      <c r="I13" s="26">
        <v>1</v>
      </c>
      <c r="J13" s="27">
        <v>1</v>
      </c>
      <c r="K13" s="2">
        <f t="shared" si="0"/>
        <v>1.7</v>
      </c>
      <c r="L13" s="28" t="s">
        <v>742</v>
      </c>
      <c r="M13" s="28" t="s">
        <v>743</v>
      </c>
      <c r="N13" s="23"/>
      <c r="O13"/>
      <c r="P13"/>
      <c r="Q13"/>
      <c r="R13"/>
      <c r="S13"/>
      <c r="T13"/>
      <c r="U13"/>
      <c r="V13"/>
    </row>
    <row r="14" spans="1:22" s="24" customFormat="1" ht="27" customHeight="1" x14ac:dyDescent="0.25">
      <c r="A14" s="23" t="s">
        <v>647</v>
      </c>
      <c r="B14" s="14">
        <v>1.1000000000000001</v>
      </c>
      <c r="C14" s="23" t="s">
        <v>67</v>
      </c>
      <c r="D14" s="28" t="s">
        <v>744</v>
      </c>
      <c r="E14" s="24" t="s">
        <v>659</v>
      </c>
      <c r="F14" s="24" t="s">
        <v>28</v>
      </c>
      <c r="G14" s="25">
        <v>0.95</v>
      </c>
      <c r="H14" s="26">
        <v>6</v>
      </c>
      <c r="I14" s="26">
        <v>1</v>
      </c>
      <c r="J14" s="27">
        <v>1</v>
      </c>
      <c r="K14" s="2">
        <f t="shared" si="0"/>
        <v>0.95</v>
      </c>
      <c r="L14" s="28" t="s">
        <v>745</v>
      </c>
      <c r="M14" s="28" t="s">
        <v>711</v>
      </c>
      <c r="N14" s="23"/>
      <c r="O14"/>
      <c r="P14"/>
      <c r="Q14"/>
      <c r="R14"/>
      <c r="S14"/>
      <c r="T14"/>
      <c r="U14"/>
      <c r="V14"/>
    </row>
    <row r="15" spans="1:22" s="24" customFormat="1" x14ac:dyDescent="0.25">
      <c r="A15" s="23" t="s">
        <v>647</v>
      </c>
      <c r="B15" s="14">
        <v>1.1000000000000001</v>
      </c>
      <c r="C15" s="23" t="s">
        <v>67</v>
      </c>
      <c r="D15" s="28" t="s">
        <v>746</v>
      </c>
      <c r="E15" s="24" t="s">
        <v>28</v>
      </c>
      <c r="F15" s="24" t="s">
        <v>28</v>
      </c>
      <c r="G15" s="25">
        <v>1.8</v>
      </c>
      <c r="H15" s="26">
        <v>10</v>
      </c>
      <c r="I15" s="26">
        <v>1</v>
      </c>
      <c r="J15" s="27">
        <v>1</v>
      </c>
      <c r="K15" s="2">
        <f t="shared" si="0"/>
        <v>1.8</v>
      </c>
      <c r="L15" s="28" t="s">
        <v>747</v>
      </c>
      <c r="M15" s="28" t="s">
        <v>748</v>
      </c>
      <c r="N15" s="23"/>
      <c r="O15"/>
      <c r="P15"/>
      <c r="Q15"/>
      <c r="R15"/>
      <c r="S15"/>
      <c r="T15"/>
      <c r="U15"/>
      <c r="V15"/>
    </row>
    <row r="16" spans="1:22" s="24" customFormat="1" ht="22.5" x14ac:dyDescent="0.25">
      <c r="A16" s="23" t="s">
        <v>647</v>
      </c>
      <c r="B16" s="14">
        <v>1.1000000000000001</v>
      </c>
      <c r="C16" s="23" t="s">
        <v>67</v>
      </c>
      <c r="D16" s="28" t="s">
        <v>749</v>
      </c>
      <c r="E16" s="24" t="s">
        <v>28</v>
      </c>
      <c r="F16" s="24" t="s">
        <v>28</v>
      </c>
      <c r="G16" s="25">
        <v>2.4</v>
      </c>
      <c r="H16" s="26" t="s">
        <v>671</v>
      </c>
      <c r="I16" s="26">
        <v>1</v>
      </c>
      <c r="J16" s="27">
        <v>15.38</v>
      </c>
      <c r="K16" s="2">
        <f t="shared" si="0"/>
        <v>0.15604681404421325</v>
      </c>
      <c r="L16" s="28" t="s">
        <v>750</v>
      </c>
      <c r="M16" s="28" t="s">
        <v>751</v>
      </c>
      <c r="N16" s="23"/>
      <c r="O16"/>
      <c r="P16"/>
      <c r="Q16"/>
      <c r="R16"/>
      <c r="S16"/>
      <c r="T16"/>
      <c r="U16"/>
      <c r="V16"/>
    </row>
    <row r="17" spans="1:22" s="24" customFormat="1" ht="22.5" x14ac:dyDescent="0.25">
      <c r="A17" s="23" t="s">
        <v>647</v>
      </c>
      <c r="B17" s="14">
        <v>1.1000000000000001</v>
      </c>
      <c r="C17" s="23" t="s">
        <v>67</v>
      </c>
      <c r="D17" s="28" t="s">
        <v>752</v>
      </c>
      <c r="E17" s="23" t="s">
        <v>753</v>
      </c>
      <c r="F17" s="24" t="s">
        <v>28</v>
      </c>
      <c r="G17" s="25">
        <v>1.85</v>
      </c>
      <c r="H17" s="26">
        <v>6</v>
      </c>
      <c r="I17" s="26">
        <v>2</v>
      </c>
      <c r="J17" s="27">
        <f>12/10</f>
        <v>1.2</v>
      </c>
      <c r="K17" s="2">
        <f t="shared" si="0"/>
        <v>3.0833333333333335</v>
      </c>
      <c r="L17" s="28" t="s">
        <v>754</v>
      </c>
      <c r="M17" s="28" t="s">
        <v>1094</v>
      </c>
      <c r="N17" s="23"/>
      <c r="O17"/>
      <c r="P17"/>
      <c r="Q17"/>
      <c r="R17"/>
      <c r="S17"/>
      <c r="T17"/>
      <c r="U17"/>
      <c r="V17"/>
    </row>
    <row r="18" spans="1:22" s="24" customFormat="1" x14ac:dyDescent="0.25">
      <c r="A18" s="23" t="s">
        <v>647</v>
      </c>
      <c r="B18" s="14">
        <v>1.1000000000000001</v>
      </c>
      <c r="C18" s="23" t="s">
        <v>67</v>
      </c>
      <c r="D18" s="28" t="s">
        <v>755</v>
      </c>
      <c r="E18" s="24" t="s">
        <v>28</v>
      </c>
      <c r="F18" s="24" t="s">
        <v>28</v>
      </c>
      <c r="G18" s="25">
        <v>3.25</v>
      </c>
      <c r="H18" s="26">
        <v>6</v>
      </c>
      <c r="I18" s="26">
        <v>1</v>
      </c>
      <c r="J18" s="27">
        <v>3</v>
      </c>
      <c r="K18" s="2">
        <f t="shared" si="0"/>
        <v>1.0833333333333333</v>
      </c>
      <c r="L18" s="28" t="s">
        <v>756</v>
      </c>
      <c r="M18" s="28" t="s">
        <v>1095</v>
      </c>
      <c r="N18" s="23"/>
      <c r="O18"/>
      <c r="P18"/>
      <c r="Q18"/>
      <c r="R18"/>
      <c r="S18"/>
      <c r="T18"/>
      <c r="U18"/>
      <c r="V18"/>
    </row>
    <row r="19" spans="1:22" s="24" customFormat="1" x14ac:dyDescent="0.25">
      <c r="A19" s="23" t="s">
        <v>647</v>
      </c>
      <c r="B19" s="14">
        <v>1.1000000000000001</v>
      </c>
      <c r="C19" s="23" t="s">
        <v>67</v>
      </c>
      <c r="D19" s="28" t="s">
        <v>661</v>
      </c>
      <c r="E19" s="24" t="s">
        <v>28</v>
      </c>
      <c r="F19" s="24" t="s">
        <v>28</v>
      </c>
      <c r="G19" s="25">
        <v>6.85</v>
      </c>
      <c r="H19" s="26" t="s">
        <v>653</v>
      </c>
      <c r="I19" s="26">
        <v>1</v>
      </c>
      <c r="J19" s="27">
        <v>5.56</v>
      </c>
      <c r="K19" s="2">
        <f t="shared" si="0"/>
        <v>1.2320143884892087</v>
      </c>
      <c r="L19" s="28" t="s">
        <v>757</v>
      </c>
      <c r="M19" s="28" t="s">
        <v>662</v>
      </c>
      <c r="N19" s="23"/>
      <c r="O19"/>
      <c r="P19"/>
      <c r="Q19"/>
      <c r="R19"/>
      <c r="S19"/>
      <c r="T19"/>
      <c r="U19"/>
      <c r="V19"/>
    </row>
    <row r="20" spans="1:22" s="24" customFormat="1" x14ac:dyDescent="0.25">
      <c r="A20" s="23" t="s">
        <v>647</v>
      </c>
      <c r="B20" s="14">
        <v>1.1000000000000001</v>
      </c>
      <c r="C20" s="23" t="s">
        <v>67</v>
      </c>
      <c r="D20" s="28" t="s">
        <v>758</v>
      </c>
      <c r="E20" s="24" t="s">
        <v>28</v>
      </c>
      <c r="F20" s="24" t="s">
        <v>28</v>
      </c>
      <c r="G20" s="25">
        <v>1.4</v>
      </c>
      <c r="H20" s="26" t="s">
        <v>663</v>
      </c>
      <c r="I20" s="26">
        <v>1</v>
      </c>
      <c r="J20" s="27">
        <v>1.56</v>
      </c>
      <c r="K20" s="2">
        <f>G20*I20/J20</f>
        <v>0.89743589743589736</v>
      </c>
      <c r="L20" s="28" t="s">
        <v>759</v>
      </c>
      <c r="M20" s="28" t="s">
        <v>760</v>
      </c>
      <c r="N20" s="23"/>
      <c r="O20"/>
      <c r="P20"/>
      <c r="Q20"/>
      <c r="R20"/>
      <c r="S20"/>
      <c r="T20"/>
      <c r="U20"/>
      <c r="V20"/>
    </row>
    <row r="21" spans="1:22" s="24" customFormat="1" ht="22.5" x14ac:dyDescent="0.25">
      <c r="A21" s="23" t="s">
        <v>647</v>
      </c>
      <c r="B21" s="14">
        <v>1.1000000000000001</v>
      </c>
      <c r="C21" s="23" t="s">
        <v>67</v>
      </c>
      <c r="D21" s="28" t="s">
        <v>664</v>
      </c>
      <c r="E21" s="24" t="s">
        <v>28</v>
      </c>
      <c r="F21" s="24" t="s">
        <v>28</v>
      </c>
      <c r="G21" s="25">
        <v>1.8</v>
      </c>
      <c r="H21" s="26">
        <v>340</v>
      </c>
      <c r="I21" s="26">
        <v>1</v>
      </c>
      <c r="J21" s="27">
        <f>340/30</f>
        <v>11.333333333333334</v>
      </c>
      <c r="K21" s="2">
        <f t="shared" si="0"/>
        <v>0.1588235294117647</v>
      </c>
      <c r="L21" s="28" t="s">
        <v>666</v>
      </c>
      <c r="M21" s="28" t="s">
        <v>1096</v>
      </c>
      <c r="N21" s="23"/>
      <c r="O21"/>
      <c r="P21"/>
      <c r="Q21"/>
      <c r="R21"/>
      <c r="S21"/>
      <c r="T21"/>
      <c r="U21"/>
      <c r="V21"/>
    </row>
    <row r="22" spans="1:22" s="24" customFormat="1" ht="22.5" x14ac:dyDescent="0.25">
      <c r="A22" s="23" t="s">
        <v>647</v>
      </c>
      <c r="B22" s="14">
        <v>1.1000000000000001</v>
      </c>
      <c r="C22" s="23" t="s">
        <v>67</v>
      </c>
      <c r="D22" s="28" t="s">
        <v>761</v>
      </c>
      <c r="E22" s="24" t="s">
        <v>762</v>
      </c>
      <c r="F22" s="24" t="s">
        <v>28</v>
      </c>
      <c r="G22" s="25">
        <v>3.15</v>
      </c>
      <c r="H22" s="26">
        <v>21</v>
      </c>
      <c r="I22" s="26">
        <v>1</v>
      </c>
      <c r="J22" s="27">
        <v>5.25</v>
      </c>
      <c r="K22" s="2">
        <f t="shared" si="0"/>
        <v>0.6</v>
      </c>
      <c r="L22" s="28" t="s">
        <v>763</v>
      </c>
      <c r="M22" s="28" t="s">
        <v>764</v>
      </c>
      <c r="N22" s="23"/>
      <c r="O22"/>
      <c r="P22"/>
      <c r="Q22"/>
      <c r="R22"/>
      <c r="S22"/>
      <c r="T22"/>
      <c r="U22"/>
      <c r="V22"/>
    </row>
    <row r="23" spans="1:22" s="24" customFormat="1" ht="20.100000000000001" customHeight="1" x14ac:dyDescent="0.25">
      <c r="A23" s="23" t="s">
        <v>647</v>
      </c>
      <c r="B23" s="14">
        <v>1.1000000000000001</v>
      </c>
      <c r="C23" s="23" t="s">
        <v>67</v>
      </c>
      <c r="D23" s="28" t="s">
        <v>765</v>
      </c>
      <c r="E23" s="24" t="s">
        <v>28</v>
      </c>
      <c r="F23" s="24" t="s">
        <v>28</v>
      </c>
      <c r="G23" s="25">
        <v>2.5</v>
      </c>
      <c r="H23" s="26" t="s">
        <v>1098</v>
      </c>
      <c r="I23" s="26">
        <v>1</v>
      </c>
      <c r="J23" s="27">
        <f>300/160</f>
        <v>1.875</v>
      </c>
      <c r="K23" s="2">
        <f t="shared" si="0"/>
        <v>1.3333333333333333</v>
      </c>
      <c r="L23" s="28" t="s">
        <v>904</v>
      </c>
      <c r="M23" s="28" t="s">
        <v>1097</v>
      </c>
      <c r="N23" s="23"/>
      <c r="O23"/>
      <c r="P23"/>
      <c r="Q23"/>
      <c r="R23"/>
      <c r="S23"/>
      <c r="T23"/>
      <c r="U23"/>
      <c r="V23"/>
    </row>
    <row r="24" spans="1:22" s="24" customFormat="1" ht="22.5" x14ac:dyDescent="0.25">
      <c r="A24" s="23" t="s">
        <v>647</v>
      </c>
      <c r="B24" s="14">
        <v>1.1000000000000001</v>
      </c>
      <c r="C24" s="23" t="s">
        <v>67</v>
      </c>
      <c r="D24" s="28" t="s">
        <v>667</v>
      </c>
      <c r="E24" s="24" t="s">
        <v>28</v>
      </c>
      <c r="F24" s="24" t="s">
        <v>28</v>
      </c>
      <c r="G24" s="25">
        <v>0.7</v>
      </c>
      <c r="H24" s="26">
        <v>28</v>
      </c>
      <c r="I24" s="26">
        <v>2</v>
      </c>
      <c r="J24" s="27">
        <v>1.87</v>
      </c>
      <c r="K24" s="2">
        <f t="shared" si="0"/>
        <v>0.74866310160427796</v>
      </c>
      <c r="L24" s="28" t="s">
        <v>766</v>
      </c>
      <c r="M24" s="28" t="s">
        <v>767</v>
      </c>
      <c r="N24" s="23"/>
      <c r="O24"/>
      <c r="P24"/>
      <c r="Q24"/>
      <c r="R24"/>
      <c r="S24"/>
      <c r="T24"/>
      <c r="U24"/>
      <c r="V24"/>
    </row>
    <row r="25" spans="1:22" s="24" customFormat="1" ht="20.100000000000001" customHeight="1" x14ac:dyDescent="0.25">
      <c r="A25" s="23" t="s">
        <v>647</v>
      </c>
      <c r="B25" s="14">
        <v>1.1000000000000001</v>
      </c>
      <c r="C25" s="23" t="s">
        <v>67</v>
      </c>
      <c r="D25" s="28" t="s">
        <v>648</v>
      </c>
      <c r="E25" s="24" t="s">
        <v>1129</v>
      </c>
      <c r="F25" s="24" t="s">
        <v>28</v>
      </c>
      <c r="G25" s="25">
        <v>3.3</v>
      </c>
      <c r="H25" s="26">
        <v>80</v>
      </c>
      <c r="I25" s="26">
        <v>1</v>
      </c>
      <c r="J25" s="27">
        <v>1.21</v>
      </c>
      <c r="K25" s="2">
        <f t="shared" si="0"/>
        <v>2.7272727272727271</v>
      </c>
      <c r="L25" s="28" t="s">
        <v>768</v>
      </c>
      <c r="M25" s="28" t="s">
        <v>1099</v>
      </c>
      <c r="N25" s="23"/>
      <c r="O25"/>
      <c r="P25"/>
      <c r="Q25"/>
      <c r="R25"/>
      <c r="S25"/>
      <c r="T25"/>
      <c r="U25"/>
      <c r="V25"/>
    </row>
    <row r="26" spans="1:22" s="24" customFormat="1" ht="22.5" x14ac:dyDescent="0.25">
      <c r="A26" s="23" t="s">
        <v>647</v>
      </c>
      <c r="B26" s="14">
        <v>1.1000000000000001</v>
      </c>
      <c r="C26" s="23" t="s">
        <v>67</v>
      </c>
      <c r="D26" s="28" t="s">
        <v>668</v>
      </c>
      <c r="E26" s="24" t="s">
        <v>28</v>
      </c>
      <c r="F26" s="24" t="s">
        <v>28</v>
      </c>
      <c r="G26" s="25">
        <v>1.2</v>
      </c>
      <c r="H26" s="26">
        <v>1</v>
      </c>
      <c r="I26" s="26">
        <v>1</v>
      </c>
      <c r="J26" s="27">
        <v>1</v>
      </c>
      <c r="K26" s="2">
        <f t="shared" si="0"/>
        <v>1.2</v>
      </c>
      <c r="L26" s="28" t="s">
        <v>769</v>
      </c>
      <c r="M26" s="28" t="s">
        <v>1100</v>
      </c>
      <c r="N26" s="23"/>
      <c r="O26"/>
      <c r="P26"/>
      <c r="Q26"/>
      <c r="R26"/>
      <c r="S26"/>
      <c r="T26"/>
      <c r="U26"/>
      <c r="V26"/>
    </row>
    <row r="27" spans="1:22" s="24" customFormat="1" ht="15.6" customHeight="1" x14ac:dyDescent="0.25">
      <c r="A27" s="23" t="s">
        <v>647</v>
      </c>
      <c r="B27" s="14">
        <v>1.1000000000000001</v>
      </c>
      <c r="C27" s="23" t="s">
        <v>67</v>
      </c>
      <c r="D27" s="28" t="s">
        <v>770</v>
      </c>
      <c r="E27" s="24" t="s">
        <v>28</v>
      </c>
      <c r="F27" s="24" t="s">
        <v>28</v>
      </c>
      <c r="G27" s="25">
        <v>0.55000000000000004</v>
      </c>
      <c r="H27" s="26">
        <v>1</v>
      </c>
      <c r="I27" s="26">
        <v>2</v>
      </c>
      <c r="J27" s="27">
        <v>1</v>
      </c>
      <c r="K27" s="2">
        <f t="shared" si="0"/>
        <v>1.1000000000000001</v>
      </c>
      <c r="L27" s="28" t="s">
        <v>771</v>
      </c>
      <c r="M27" s="28" t="s">
        <v>772</v>
      </c>
      <c r="N27" s="23"/>
      <c r="O27"/>
      <c r="P27"/>
      <c r="Q27"/>
      <c r="R27"/>
      <c r="S27"/>
      <c r="T27"/>
      <c r="U27"/>
      <c r="V27"/>
    </row>
    <row r="28" spans="1:22" s="24" customFormat="1" ht="18" customHeight="1" x14ac:dyDescent="0.25">
      <c r="A28" s="23" t="s">
        <v>647</v>
      </c>
      <c r="B28" s="14">
        <v>1.1000000000000001</v>
      </c>
      <c r="C28" s="23" t="s">
        <v>67</v>
      </c>
      <c r="D28" s="28" t="s">
        <v>773</v>
      </c>
      <c r="E28" s="24" t="s">
        <v>28</v>
      </c>
      <c r="F28" s="24" t="s">
        <v>28</v>
      </c>
      <c r="G28" s="25">
        <v>1.3</v>
      </c>
      <c r="H28" s="26">
        <v>28</v>
      </c>
      <c r="I28" s="26">
        <v>1</v>
      </c>
      <c r="J28" s="27">
        <f>28/11</f>
        <v>2.5454545454545454</v>
      </c>
      <c r="K28" s="2">
        <f t="shared" si="0"/>
        <v>0.51071428571428579</v>
      </c>
      <c r="L28" s="28" t="s">
        <v>774</v>
      </c>
      <c r="M28" s="28" t="s">
        <v>1101</v>
      </c>
      <c r="N28" s="23"/>
      <c r="O28"/>
      <c r="P28"/>
      <c r="Q28"/>
      <c r="R28"/>
      <c r="S28"/>
      <c r="T28"/>
      <c r="U28"/>
      <c r="V28"/>
    </row>
    <row r="29" spans="1:22" s="24" customFormat="1" ht="14.45" customHeight="1" x14ac:dyDescent="0.25">
      <c r="A29" s="23" t="s">
        <v>647</v>
      </c>
      <c r="B29" s="14">
        <v>1.1000000000000001</v>
      </c>
      <c r="C29" s="23" t="s">
        <v>67</v>
      </c>
      <c r="D29" s="28" t="s">
        <v>775</v>
      </c>
      <c r="E29" s="24" t="s">
        <v>28</v>
      </c>
      <c r="F29" s="24" t="s">
        <v>28</v>
      </c>
      <c r="G29" s="25">
        <v>1.3</v>
      </c>
      <c r="H29" s="26" t="s">
        <v>650</v>
      </c>
      <c r="I29" s="26">
        <v>1</v>
      </c>
      <c r="J29" s="27">
        <v>1</v>
      </c>
      <c r="K29" s="2">
        <f t="shared" si="0"/>
        <v>1.3</v>
      </c>
      <c r="L29" s="28" t="s">
        <v>776</v>
      </c>
      <c r="M29" s="28" t="s">
        <v>777</v>
      </c>
      <c r="N29" s="23"/>
      <c r="O29"/>
      <c r="P29"/>
      <c r="Q29"/>
      <c r="R29"/>
      <c r="S29"/>
      <c r="T29"/>
      <c r="U29"/>
      <c r="V29"/>
    </row>
    <row r="30" spans="1:22" s="24" customFormat="1" x14ac:dyDescent="0.25">
      <c r="A30" s="23" t="s">
        <v>647</v>
      </c>
      <c r="B30" s="14">
        <v>1.1000000000000001</v>
      </c>
      <c r="C30" s="23" t="s">
        <v>67</v>
      </c>
      <c r="D30" s="28" t="s">
        <v>778</v>
      </c>
      <c r="E30" s="24" t="s">
        <v>779</v>
      </c>
      <c r="F30" s="24" t="s">
        <v>28</v>
      </c>
      <c r="G30" s="25">
        <v>3</v>
      </c>
      <c r="H30" s="26">
        <v>6</v>
      </c>
      <c r="I30" s="26">
        <v>1</v>
      </c>
      <c r="J30" s="27">
        <v>1</v>
      </c>
      <c r="K30" s="2">
        <f t="shared" si="0"/>
        <v>3</v>
      </c>
      <c r="L30" s="28" t="s">
        <v>780</v>
      </c>
      <c r="M30" s="28" t="s">
        <v>1102</v>
      </c>
      <c r="N30" s="23"/>
      <c r="O30"/>
      <c r="P30"/>
      <c r="Q30"/>
      <c r="R30"/>
      <c r="S30"/>
      <c r="T30"/>
      <c r="U30"/>
      <c r="V30"/>
    </row>
    <row r="31" spans="1:22" s="24" customFormat="1" x14ac:dyDescent="0.25">
      <c r="A31" s="23" t="s">
        <v>647</v>
      </c>
      <c r="B31" s="14">
        <v>1.1000000000000001</v>
      </c>
      <c r="C31" s="23" t="s">
        <v>67</v>
      </c>
      <c r="D31" s="28" t="s">
        <v>713</v>
      </c>
      <c r="E31" s="24" t="s">
        <v>28</v>
      </c>
      <c r="F31" s="24" t="s">
        <v>28</v>
      </c>
      <c r="G31" s="25">
        <v>1.35</v>
      </c>
      <c r="H31" s="26">
        <v>10</v>
      </c>
      <c r="I31" s="26">
        <v>1</v>
      </c>
      <c r="J31" s="27">
        <v>1</v>
      </c>
      <c r="K31" s="2">
        <f t="shared" si="0"/>
        <v>1.35</v>
      </c>
      <c r="L31" s="28" t="s">
        <v>1103</v>
      </c>
      <c r="M31" s="23" t="s">
        <v>781</v>
      </c>
      <c r="N31" s="23"/>
      <c r="O31"/>
      <c r="P31"/>
      <c r="Q31"/>
      <c r="R31"/>
      <c r="S31"/>
      <c r="T31"/>
      <c r="U31"/>
      <c r="V31"/>
    </row>
    <row r="32" spans="1:22" s="24" customFormat="1" ht="26.45" customHeight="1" x14ac:dyDescent="0.25">
      <c r="A32" s="23" t="s">
        <v>647</v>
      </c>
      <c r="B32" s="14">
        <v>1.1000000000000001</v>
      </c>
      <c r="C32" s="23" t="s">
        <v>67</v>
      </c>
      <c r="D32" s="28" t="s">
        <v>782</v>
      </c>
      <c r="E32" s="24" t="s">
        <v>28</v>
      </c>
      <c r="F32" s="24" t="s">
        <v>28</v>
      </c>
      <c r="G32" s="25">
        <v>0.49</v>
      </c>
      <c r="H32" s="26">
        <v>1</v>
      </c>
      <c r="I32" s="26">
        <v>2</v>
      </c>
      <c r="J32" s="27">
        <v>1</v>
      </c>
      <c r="K32" s="2">
        <f t="shared" si="0"/>
        <v>0.98</v>
      </c>
      <c r="L32" s="28" t="s">
        <v>783</v>
      </c>
      <c r="M32" s="23" t="s">
        <v>1104</v>
      </c>
      <c r="N32" s="23"/>
      <c r="O32"/>
      <c r="P32"/>
      <c r="Q32"/>
      <c r="R32"/>
      <c r="S32"/>
      <c r="T32"/>
      <c r="U32"/>
      <c r="V32"/>
    </row>
    <row r="33" spans="1:22" s="24" customFormat="1" ht="18" customHeight="1" x14ac:dyDescent="0.25">
      <c r="A33" s="23" t="s">
        <v>647</v>
      </c>
      <c r="B33" s="14">
        <v>1.1000000000000001</v>
      </c>
      <c r="C33" s="23" t="s">
        <v>67</v>
      </c>
      <c r="D33" s="28" t="s">
        <v>784</v>
      </c>
      <c r="E33" s="24" t="s">
        <v>28</v>
      </c>
      <c r="F33" s="24" t="s">
        <v>28</v>
      </c>
      <c r="G33" s="25">
        <v>1.39</v>
      </c>
      <c r="H33" s="26">
        <v>125</v>
      </c>
      <c r="I33" s="26">
        <v>2</v>
      </c>
      <c r="J33" s="27">
        <v>1</v>
      </c>
      <c r="K33" s="2">
        <f t="shared" si="0"/>
        <v>2.78</v>
      </c>
      <c r="L33" s="28" t="s">
        <v>785</v>
      </c>
      <c r="M33" s="23" t="s">
        <v>1105</v>
      </c>
      <c r="N33" s="23"/>
      <c r="O33"/>
      <c r="P33"/>
      <c r="Q33"/>
      <c r="R33"/>
      <c r="S33"/>
      <c r="T33"/>
      <c r="U33"/>
      <c r="V33"/>
    </row>
    <row r="34" spans="1:22" s="24" customFormat="1" x14ac:dyDescent="0.25">
      <c r="A34" s="23" t="s">
        <v>647</v>
      </c>
      <c r="B34" s="14">
        <v>1.1000000000000001</v>
      </c>
      <c r="C34" s="23" t="s">
        <v>67</v>
      </c>
      <c r="D34" s="28" t="s">
        <v>786</v>
      </c>
      <c r="E34" s="24" t="s">
        <v>28</v>
      </c>
      <c r="F34" s="24" t="s">
        <v>28</v>
      </c>
      <c r="G34" s="25">
        <v>0.95</v>
      </c>
      <c r="H34" s="26" t="s">
        <v>1090</v>
      </c>
      <c r="I34" s="26">
        <v>1</v>
      </c>
      <c r="J34" s="27">
        <f>1000/792</f>
        <v>1.2626262626262625</v>
      </c>
      <c r="K34" s="2">
        <f t="shared" si="0"/>
        <v>0.75240000000000007</v>
      </c>
      <c r="L34" s="28" t="s">
        <v>787</v>
      </c>
      <c r="M34" s="23" t="s">
        <v>1106</v>
      </c>
      <c r="N34" s="23"/>
      <c r="O34"/>
      <c r="P34"/>
      <c r="Q34"/>
      <c r="R34"/>
      <c r="S34"/>
      <c r="T34"/>
      <c r="U34"/>
      <c r="V34"/>
    </row>
    <row r="35" spans="1:22" s="24" customFormat="1" ht="22.5" x14ac:dyDescent="0.25">
      <c r="A35" s="23" t="s">
        <v>647</v>
      </c>
      <c r="B35" s="14">
        <v>1.1000000000000001</v>
      </c>
      <c r="C35" s="23" t="s">
        <v>67</v>
      </c>
      <c r="D35" s="28" t="s">
        <v>788</v>
      </c>
      <c r="E35" s="24" t="s">
        <v>28</v>
      </c>
      <c r="F35" s="24" t="s">
        <v>28</v>
      </c>
      <c r="G35" s="25">
        <v>0.75</v>
      </c>
      <c r="H35" s="26" t="s">
        <v>675</v>
      </c>
      <c r="I35" s="26">
        <v>1</v>
      </c>
      <c r="J35" s="27">
        <v>1.84</v>
      </c>
      <c r="K35" s="2">
        <f t="shared" si="0"/>
        <v>0.40760869565217389</v>
      </c>
      <c r="L35" s="28" t="s">
        <v>789</v>
      </c>
      <c r="M35" s="23" t="s">
        <v>1107</v>
      </c>
      <c r="N35" s="23"/>
      <c r="O35"/>
      <c r="P35"/>
      <c r="Q35"/>
      <c r="R35"/>
      <c r="S35"/>
      <c r="T35"/>
      <c r="U35"/>
      <c r="V35"/>
    </row>
    <row r="36" spans="1:22" s="24" customFormat="1" x14ac:dyDescent="0.25">
      <c r="A36" s="23" t="s">
        <v>647</v>
      </c>
      <c r="B36" s="14">
        <v>1.1000000000000001</v>
      </c>
      <c r="C36" s="23" t="s">
        <v>67</v>
      </c>
      <c r="D36" s="28" t="s">
        <v>790</v>
      </c>
      <c r="E36" s="24" t="s">
        <v>28</v>
      </c>
      <c r="F36" s="24" t="s">
        <v>28</v>
      </c>
      <c r="G36" s="25">
        <v>0.75</v>
      </c>
      <c r="H36" s="26" t="s">
        <v>663</v>
      </c>
      <c r="I36" s="26">
        <v>1</v>
      </c>
      <c r="J36" s="27">
        <v>3.21</v>
      </c>
      <c r="K36" s="2">
        <f t="shared" si="0"/>
        <v>0.23364485981308411</v>
      </c>
      <c r="L36" s="28" t="s">
        <v>791</v>
      </c>
      <c r="M36" s="23" t="s">
        <v>792</v>
      </c>
      <c r="N36" s="23"/>
      <c r="O36"/>
      <c r="P36"/>
      <c r="Q36"/>
      <c r="R36"/>
      <c r="S36"/>
      <c r="T36"/>
      <c r="U36"/>
      <c r="V36"/>
    </row>
    <row r="37" spans="1:22" s="24" customFormat="1" ht="22.5" x14ac:dyDescent="0.25">
      <c r="A37" s="23" t="s">
        <v>647</v>
      </c>
      <c r="B37" s="14">
        <v>1.1000000000000001</v>
      </c>
      <c r="C37" s="23" t="s">
        <v>67</v>
      </c>
      <c r="D37" s="28" t="s">
        <v>674</v>
      </c>
      <c r="E37" s="24" t="s">
        <v>28</v>
      </c>
      <c r="F37" s="24" t="s">
        <v>28</v>
      </c>
      <c r="G37" s="25">
        <v>1.0900000000000001</v>
      </c>
      <c r="H37" s="26" t="s">
        <v>671</v>
      </c>
      <c r="I37" s="26">
        <v>1</v>
      </c>
      <c r="J37" s="27">
        <v>1.31</v>
      </c>
      <c r="K37" s="2">
        <f t="shared" si="0"/>
        <v>0.83206106870229013</v>
      </c>
      <c r="L37" s="28" t="s">
        <v>793</v>
      </c>
      <c r="M37" s="23" t="s">
        <v>794</v>
      </c>
      <c r="N37" s="23"/>
      <c r="O37"/>
      <c r="P37"/>
      <c r="Q37"/>
      <c r="R37"/>
      <c r="S37"/>
      <c r="T37"/>
      <c r="U37"/>
      <c r="V37"/>
    </row>
    <row r="38" spans="1:22" s="24" customFormat="1" x14ac:dyDescent="0.25">
      <c r="A38" s="23" t="s">
        <v>647</v>
      </c>
      <c r="B38" s="14">
        <v>1.1000000000000001</v>
      </c>
      <c r="C38" s="23" t="s">
        <v>67</v>
      </c>
      <c r="D38" s="28" t="s">
        <v>795</v>
      </c>
      <c r="E38" s="24" t="s">
        <v>28</v>
      </c>
      <c r="F38" s="24" t="s">
        <v>28</v>
      </c>
      <c r="G38" s="25">
        <v>0.6</v>
      </c>
      <c r="H38" s="26" t="s">
        <v>676</v>
      </c>
      <c r="I38" s="26">
        <v>1</v>
      </c>
      <c r="J38" s="27">
        <v>1</v>
      </c>
      <c r="K38" s="2">
        <f t="shared" si="0"/>
        <v>0.6</v>
      </c>
      <c r="L38" s="28" t="s">
        <v>796</v>
      </c>
      <c r="M38" s="23" t="s">
        <v>1108</v>
      </c>
      <c r="N38" s="23"/>
      <c r="O38"/>
      <c r="P38"/>
      <c r="Q38"/>
      <c r="R38"/>
      <c r="S38"/>
      <c r="T38"/>
      <c r="U38"/>
      <c r="V38"/>
    </row>
    <row r="39" spans="1:22" s="24" customFormat="1" x14ac:dyDescent="0.25">
      <c r="A39" s="23" t="s">
        <v>647</v>
      </c>
      <c r="B39" s="14">
        <v>1.1000000000000001</v>
      </c>
      <c r="C39" s="23" t="s">
        <v>67</v>
      </c>
      <c r="D39" s="28" t="s">
        <v>797</v>
      </c>
      <c r="E39" s="24" t="s">
        <v>28</v>
      </c>
      <c r="F39" s="24" t="s">
        <v>28</v>
      </c>
      <c r="G39" s="25">
        <v>1</v>
      </c>
      <c r="H39" s="26"/>
      <c r="I39" s="26">
        <v>1</v>
      </c>
      <c r="J39" s="27">
        <v>9</v>
      </c>
      <c r="K39" s="2">
        <f t="shared" si="0"/>
        <v>0.1111111111111111</v>
      </c>
      <c r="L39" s="28" t="s">
        <v>798</v>
      </c>
      <c r="M39" s="23" t="s">
        <v>1109</v>
      </c>
      <c r="N39" s="23"/>
      <c r="O39"/>
      <c r="P39"/>
      <c r="Q39"/>
      <c r="R39"/>
      <c r="S39"/>
      <c r="T39"/>
      <c r="U39"/>
      <c r="V39"/>
    </row>
    <row r="40" spans="1:22" s="24" customFormat="1" ht="19.5" customHeight="1" x14ac:dyDescent="0.25">
      <c r="A40" s="23" t="s">
        <v>647</v>
      </c>
      <c r="B40" s="14">
        <v>1.1000000000000001</v>
      </c>
      <c r="C40" s="23" t="s">
        <v>67</v>
      </c>
      <c r="D40" s="28" t="s">
        <v>799</v>
      </c>
      <c r="E40" s="24" t="s">
        <v>28</v>
      </c>
      <c r="F40" s="24" t="s">
        <v>28</v>
      </c>
      <c r="G40" s="25">
        <v>0.9</v>
      </c>
      <c r="H40" s="26">
        <v>10</v>
      </c>
      <c r="I40" s="26">
        <v>1</v>
      </c>
      <c r="J40" s="27">
        <v>5</v>
      </c>
      <c r="K40" s="2">
        <f t="shared" si="0"/>
        <v>0.18</v>
      </c>
      <c r="L40" s="28" t="s">
        <v>800</v>
      </c>
      <c r="M40" s="23" t="s">
        <v>801</v>
      </c>
      <c r="N40" s="23"/>
      <c r="O40"/>
      <c r="P40"/>
      <c r="Q40"/>
      <c r="R40"/>
      <c r="S40"/>
      <c r="T40"/>
      <c r="U40"/>
      <c r="V40"/>
    </row>
    <row r="41" spans="1:22" s="24" customFormat="1" ht="27.95" customHeight="1" x14ac:dyDescent="0.25">
      <c r="A41" s="23" t="s">
        <v>647</v>
      </c>
      <c r="B41" s="14">
        <v>1.1000000000000001</v>
      </c>
      <c r="C41" s="23" t="s">
        <v>67</v>
      </c>
      <c r="D41" s="28" t="s">
        <v>802</v>
      </c>
      <c r="E41" s="24" t="s">
        <v>655</v>
      </c>
      <c r="F41" s="24" t="s">
        <v>28</v>
      </c>
      <c r="G41" s="25">
        <v>1.4</v>
      </c>
      <c r="H41" s="26">
        <v>6</v>
      </c>
      <c r="I41" s="26">
        <v>1</v>
      </c>
      <c r="J41" s="27">
        <v>3</v>
      </c>
      <c r="K41" s="2">
        <f t="shared" si="0"/>
        <v>0.46666666666666662</v>
      </c>
      <c r="L41" s="28" t="s">
        <v>1110</v>
      </c>
      <c r="M41" s="23" t="s">
        <v>803</v>
      </c>
      <c r="N41" s="23"/>
      <c r="O41"/>
      <c r="P41"/>
      <c r="Q41"/>
      <c r="R41"/>
      <c r="S41"/>
      <c r="T41"/>
      <c r="U41"/>
      <c r="V41"/>
    </row>
    <row r="42" spans="1:22" s="24" customFormat="1" ht="22.5" x14ac:dyDescent="0.25">
      <c r="A42" s="23" t="s">
        <v>647</v>
      </c>
      <c r="B42" s="14">
        <v>1.1000000000000001</v>
      </c>
      <c r="C42" s="23" t="s">
        <v>67</v>
      </c>
      <c r="D42" s="28" t="s">
        <v>804</v>
      </c>
      <c r="E42" s="24" t="s">
        <v>28</v>
      </c>
      <c r="F42" s="24" t="s">
        <v>28</v>
      </c>
      <c r="G42" s="25">
        <v>2</v>
      </c>
      <c r="H42" s="26" t="s">
        <v>652</v>
      </c>
      <c r="I42" s="26">
        <v>1</v>
      </c>
      <c r="J42" s="27">
        <v>3.57</v>
      </c>
      <c r="K42" s="2">
        <f t="shared" si="0"/>
        <v>0.56022408963585435</v>
      </c>
      <c r="L42" s="28" t="s">
        <v>805</v>
      </c>
      <c r="M42" s="23" t="s">
        <v>806</v>
      </c>
      <c r="N42" s="23"/>
      <c r="O42"/>
      <c r="P42"/>
      <c r="Q42"/>
      <c r="R42"/>
      <c r="S42"/>
      <c r="T42"/>
      <c r="U42"/>
      <c r="V42"/>
    </row>
    <row r="43" spans="1:22" s="24" customFormat="1" ht="22.5" x14ac:dyDescent="0.25">
      <c r="A43" s="23" t="s">
        <v>647</v>
      </c>
      <c r="B43" s="14">
        <v>1.1000000000000001</v>
      </c>
      <c r="C43" s="23" t="s">
        <v>67</v>
      </c>
      <c r="D43" s="28" t="s">
        <v>807</v>
      </c>
      <c r="E43" s="24" t="s">
        <v>28</v>
      </c>
      <c r="F43" s="24" t="s">
        <v>28</v>
      </c>
      <c r="G43" s="25">
        <v>2.1</v>
      </c>
      <c r="H43" s="26" t="s">
        <v>695</v>
      </c>
      <c r="I43" s="26">
        <v>1</v>
      </c>
      <c r="J43" s="27">
        <v>1</v>
      </c>
      <c r="K43" s="2">
        <f t="shared" si="0"/>
        <v>2.1</v>
      </c>
      <c r="L43" s="28" t="s">
        <v>808</v>
      </c>
      <c r="M43" s="23" t="s">
        <v>1111</v>
      </c>
      <c r="N43" s="23"/>
      <c r="O43"/>
      <c r="P43"/>
      <c r="Q43"/>
      <c r="R43"/>
      <c r="S43"/>
      <c r="T43"/>
      <c r="U43"/>
      <c r="V43"/>
    </row>
    <row r="44" spans="1:22" s="24" customFormat="1" ht="22.5" x14ac:dyDescent="0.25">
      <c r="A44" s="23" t="s">
        <v>647</v>
      </c>
      <c r="B44" s="14">
        <v>1.1000000000000001</v>
      </c>
      <c r="C44" s="23" t="s">
        <v>67</v>
      </c>
      <c r="D44" s="28" t="s">
        <v>809</v>
      </c>
      <c r="E44" s="24" t="s">
        <v>28</v>
      </c>
      <c r="F44" s="24" t="s">
        <v>28</v>
      </c>
      <c r="G44" s="25">
        <v>0.8</v>
      </c>
      <c r="H44" s="26" t="s">
        <v>1112</v>
      </c>
      <c r="I44" s="26">
        <v>1</v>
      </c>
      <c r="J44" s="27">
        <v>1</v>
      </c>
      <c r="K44" s="2">
        <f t="shared" si="0"/>
        <v>0.8</v>
      </c>
      <c r="L44" s="28" t="s">
        <v>810</v>
      </c>
      <c r="M44" s="23" t="s">
        <v>1113</v>
      </c>
      <c r="N44" s="31"/>
      <c r="O44"/>
      <c r="P44"/>
      <c r="Q44"/>
      <c r="R44"/>
      <c r="S44"/>
      <c r="T44"/>
      <c r="U44"/>
      <c r="V44"/>
    </row>
    <row r="45" spans="1:22" s="24" customFormat="1" x14ac:dyDescent="0.25">
      <c r="A45" s="23" t="s">
        <v>647</v>
      </c>
      <c r="B45" s="14">
        <v>1.1000000000000001</v>
      </c>
      <c r="C45" s="23" t="s">
        <v>67</v>
      </c>
      <c r="D45" s="28" t="s">
        <v>716</v>
      </c>
      <c r="E45" s="24" t="s">
        <v>28</v>
      </c>
      <c r="F45" s="24" t="s">
        <v>28</v>
      </c>
      <c r="G45" s="25">
        <v>2.65</v>
      </c>
      <c r="H45" s="26" t="s">
        <v>695</v>
      </c>
      <c r="I45" s="26">
        <v>1</v>
      </c>
      <c r="J45" s="27">
        <f>400/292</f>
        <v>1.3698630136986301</v>
      </c>
      <c r="K45" s="2">
        <f t="shared" si="0"/>
        <v>1.9345000000000001</v>
      </c>
      <c r="L45" s="28" t="s">
        <v>811</v>
      </c>
      <c r="M45" s="23" t="s">
        <v>1114</v>
      </c>
      <c r="N45" s="23"/>
      <c r="O45"/>
      <c r="P45"/>
      <c r="Q45"/>
      <c r="R45"/>
      <c r="S45"/>
      <c r="T45"/>
      <c r="U45"/>
      <c r="V45"/>
    </row>
    <row r="46" spans="1:22" s="24" customFormat="1" x14ac:dyDescent="0.25">
      <c r="A46" s="23" t="s">
        <v>647</v>
      </c>
      <c r="B46" s="14">
        <v>1.1000000000000001</v>
      </c>
      <c r="C46" s="23" t="s">
        <v>67</v>
      </c>
      <c r="D46" s="28" t="s">
        <v>812</v>
      </c>
      <c r="E46" s="24" t="s">
        <v>28</v>
      </c>
      <c r="F46" s="24" t="s">
        <v>28</v>
      </c>
      <c r="G46" s="25">
        <v>0.7</v>
      </c>
      <c r="H46" s="26">
        <v>1</v>
      </c>
      <c r="I46" s="26">
        <v>1</v>
      </c>
      <c r="J46" s="27">
        <v>1</v>
      </c>
      <c r="K46" s="2">
        <f t="shared" si="0"/>
        <v>0.7</v>
      </c>
      <c r="L46" s="28" t="s">
        <v>813</v>
      </c>
      <c r="M46" s="23" t="s">
        <v>1011</v>
      </c>
      <c r="N46" s="23"/>
      <c r="O46"/>
      <c r="P46"/>
      <c r="Q46"/>
      <c r="R46"/>
      <c r="S46"/>
      <c r="T46"/>
      <c r="U46"/>
      <c r="V46"/>
    </row>
    <row r="47" spans="1:22" s="24" customFormat="1" ht="22.5" x14ac:dyDescent="0.25">
      <c r="A47" s="23" t="s">
        <v>647</v>
      </c>
      <c r="B47" s="14">
        <v>1.1000000000000001</v>
      </c>
      <c r="C47" s="23" t="s">
        <v>67</v>
      </c>
      <c r="D47" s="28" t="s">
        <v>814</v>
      </c>
      <c r="E47" s="24" t="s">
        <v>28</v>
      </c>
      <c r="F47" s="24" t="s">
        <v>28</v>
      </c>
      <c r="G47" s="25">
        <v>0.85</v>
      </c>
      <c r="H47" s="26">
        <v>6</v>
      </c>
      <c r="I47" s="26">
        <v>2</v>
      </c>
      <c r="J47" s="27">
        <v>1</v>
      </c>
      <c r="K47" s="2">
        <f t="shared" si="0"/>
        <v>1.7</v>
      </c>
      <c r="L47" s="28" t="s">
        <v>815</v>
      </c>
      <c r="M47" s="23" t="s">
        <v>677</v>
      </c>
      <c r="N47" s="23"/>
      <c r="O47"/>
      <c r="P47"/>
      <c r="Q47"/>
      <c r="R47"/>
      <c r="S47"/>
      <c r="T47"/>
      <c r="U47"/>
      <c r="V47"/>
    </row>
    <row r="48" spans="1:22" s="24" customFormat="1" ht="18" customHeight="1" x14ac:dyDescent="0.25">
      <c r="A48" s="23" t="s">
        <v>647</v>
      </c>
      <c r="B48" s="14">
        <v>1.1000000000000001</v>
      </c>
      <c r="C48" s="23" t="s">
        <v>67</v>
      </c>
      <c r="D48" s="28" t="s">
        <v>717</v>
      </c>
      <c r="E48" s="24" t="s">
        <v>28</v>
      </c>
      <c r="F48" s="24" t="s">
        <v>28</v>
      </c>
      <c r="G48" s="25">
        <v>0.79</v>
      </c>
      <c r="H48" s="26">
        <v>1</v>
      </c>
      <c r="I48" s="26">
        <v>2</v>
      </c>
      <c r="J48" s="27">
        <v>1.33</v>
      </c>
      <c r="K48" s="2">
        <f t="shared" si="0"/>
        <v>1.1879699248120301</v>
      </c>
      <c r="L48" s="28" t="s">
        <v>816</v>
      </c>
      <c r="M48" s="23" t="s">
        <v>817</v>
      </c>
      <c r="N48" s="23"/>
      <c r="O48"/>
      <c r="P48"/>
      <c r="Q48"/>
      <c r="R48"/>
      <c r="S48"/>
      <c r="T48"/>
      <c r="U48"/>
      <c r="V48"/>
    </row>
    <row r="49" spans="1:22" s="24" customFormat="1" ht="33.75" x14ac:dyDescent="0.25">
      <c r="A49" s="23" t="s">
        <v>647</v>
      </c>
      <c r="B49" s="14">
        <v>1.1000000000000001</v>
      </c>
      <c r="C49" s="23" t="s">
        <v>67</v>
      </c>
      <c r="D49" s="28" t="s">
        <v>818</v>
      </c>
      <c r="E49" s="24" t="s">
        <v>28</v>
      </c>
      <c r="F49" s="24" t="s">
        <v>28</v>
      </c>
      <c r="G49" s="25">
        <v>1.25</v>
      </c>
      <c r="H49" s="26" t="s">
        <v>819</v>
      </c>
      <c r="I49" s="26">
        <v>1</v>
      </c>
      <c r="J49" s="27">
        <v>3.21</v>
      </c>
      <c r="K49" s="2">
        <f t="shared" si="0"/>
        <v>0.38940809968847351</v>
      </c>
      <c r="L49" s="28" t="s">
        <v>820</v>
      </c>
      <c r="M49" s="23" t="s">
        <v>821</v>
      </c>
      <c r="N49" s="23"/>
      <c r="O49"/>
      <c r="P49"/>
      <c r="Q49"/>
      <c r="R49"/>
      <c r="S49"/>
      <c r="T49"/>
      <c r="U49"/>
      <c r="V49"/>
    </row>
    <row r="50" spans="1:22" s="24" customFormat="1" ht="13.5" customHeight="1" x14ac:dyDescent="0.25">
      <c r="A50" s="23" t="s">
        <v>647</v>
      </c>
      <c r="B50" s="14">
        <v>1.1000000000000001</v>
      </c>
      <c r="C50" s="23" t="s">
        <v>67</v>
      </c>
      <c r="D50" s="28" t="s">
        <v>822</v>
      </c>
      <c r="E50" s="24" t="s">
        <v>28</v>
      </c>
      <c r="F50" s="24" t="s">
        <v>28</v>
      </c>
      <c r="G50" s="25">
        <v>5.7</v>
      </c>
      <c r="H50" s="26" t="s">
        <v>663</v>
      </c>
      <c r="I50" s="26">
        <v>1</v>
      </c>
      <c r="J50" s="27">
        <v>2</v>
      </c>
      <c r="K50" s="2">
        <f t="shared" si="0"/>
        <v>2.85</v>
      </c>
      <c r="L50" s="28" t="s">
        <v>714</v>
      </c>
      <c r="M50" s="23" t="s">
        <v>823</v>
      </c>
      <c r="N50" s="23"/>
      <c r="O50"/>
      <c r="P50"/>
      <c r="Q50"/>
      <c r="R50"/>
      <c r="S50"/>
      <c r="T50"/>
      <c r="U50"/>
      <c r="V50"/>
    </row>
    <row r="51" spans="1:22" s="24" customFormat="1" ht="18" customHeight="1" x14ac:dyDescent="0.25">
      <c r="A51" s="23" t="s">
        <v>647</v>
      </c>
      <c r="B51" s="14">
        <v>1.1000000000000001</v>
      </c>
      <c r="C51" s="23" t="s">
        <v>67</v>
      </c>
      <c r="D51" s="28" t="s">
        <v>824</v>
      </c>
      <c r="E51" s="24" t="s">
        <v>28</v>
      </c>
      <c r="F51" s="24" t="s">
        <v>28</v>
      </c>
      <c r="G51" s="25">
        <v>0.8</v>
      </c>
      <c r="H51" s="26" t="s">
        <v>703</v>
      </c>
      <c r="I51" s="26">
        <v>1</v>
      </c>
      <c r="J51" s="27">
        <v>18.52</v>
      </c>
      <c r="K51" s="2">
        <f t="shared" si="0"/>
        <v>4.3196544276457888E-2</v>
      </c>
      <c r="L51" s="28" t="s">
        <v>825</v>
      </c>
      <c r="M51" s="23" t="s">
        <v>826</v>
      </c>
      <c r="N51" s="23"/>
      <c r="O51"/>
      <c r="P51"/>
      <c r="Q51"/>
      <c r="R51"/>
      <c r="S51"/>
      <c r="T51"/>
      <c r="U51"/>
      <c r="V51"/>
    </row>
    <row r="52" spans="1:22" s="24" customFormat="1" ht="22.5" x14ac:dyDescent="0.25">
      <c r="A52" s="23" t="s">
        <v>647</v>
      </c>
      <c r="B52" s="14">
        <v>1.1000000000000001</v>
      </c>
      <c r="C52" s="23" t="s">
        <v>67</v>
      </c>
      <c r="D52" s="28" t="s">
        <v>827</v>
      </c>
      <c r="E52" s="24" t="s">
        <v>28</v>
      </c>
      <c r="F52" s="24" t="s">
        <v>28</v>
      </c>
      <c r="G52" s="25">
        <v>1</v>
      </c>
      <c r="H52" s="26" t="s">
        <v>688</v>
      </c>
      <c r="I52" s="26">
        <v>1</v>
      </c>
      <c r="J52" s="27">
        <v>7.5</v>
      </c>
      <c r="K52" s="2">
        <f t="shared" si="0"/>
        <v>0.13333333333333333</v>
      </c>
      <c r="L52" s="28" t="s">
        <v>828</v>
      </c>
      <c r="M52" s="23" t="s">
        <v>689</v>
      </c>
      <c r="N52" s="31"/>
      <c r="O52"/>
      <c r="P52"/>
      <c r="Q52"/>
      <c r="R52"/>
      <c r="S52"/>
      <c r="T52"/>
      <c r="U52"/>
      <c r="V52"/>
    </row>
    <row r="53" spans="1:22" s="24" customFormat="1" x14ac:dyDescent="0.25">
      <c r="A53" s="23" t="s">
        <v>647</v>
      </c>
      <c r="B53" s="14">
        <v>1.1000000000000001</v>
      </c>
      <c r="C53" s="23" t="s">
        <v>67</v>
      </c>
      <c r="D53" s="28" t="s">
        <v>829</v>
      </c>
      <c r="E53" s="24" t="s">
        <v>28</v>
      </c>
      <c r="F53" s="24" t="s">
        <v>28</v>
      </c>
      <c r="G53" s="25">
        <v>1</v>
      </c>
      <c r="H53" s="26" t="s">
        <v>690</v>
      </c>
      <c r="I53" s="26">
        <v>1</v>
      </c>
      <c r="J53" s="27">
        <v>22.5</v>
      </c>
      <c r="K53" s="2">
        <f t="shared" si="0"/>
        <v>4.4444444444444446E-2</v>
      </c>
      <c r="L53" s="28" t="s">
        <v>830</v>
      </c>
      <c r="M53" s="23" t="s">
        <v>831</v>
      </c>
      <c r="N53" s="23"/>
      <c r="O53"/>
      <c r="P53"/>
      <c r="Q53"/>
      <c r="R53"/>
      <c r="S53"/>
      <c r="T53"/>
      <c r="U53"/>
      <c r="V53"/>
    </row>
    <row r="54" spans="1:22" s="24" customFormat="1" x14ac:dyDescent="0.25">
      <c r="A54" s="23" t="s">
        <v>647</v>
      </c>
      <c r="B54" s="14">
        <v>1.1000000000000001</v>
      </c>
      <c r="C54" s="23" t="s">
        <v>67</v>
      </c>
      <c r="D54" s="28" t="s">
        <v>719</v>
      </c>
      <c r="E54" s="24" t="s">
        <v>28</v>
      </c>
      <c r="F54" s="24" t="s">
        <v>28</v>
      </c>
      <c r="G54" s="25">
        <v>1.25</v>
      </c>
      <c r="H54" s="26" t="s">
        <v>678</v>
      </c>
      <c r="I54" s="26">
        <v>1</v>
      </c>
      <c r="J54" s="27">
        <v>2.98</v>
      </c>
      <c r="K54" s="2">
        <f t="shared" si="0"/>
        <v>0.41946308724832215</v>
      </c>
      <c r="L54" s="28" t="s">
        <v>832</v>
      </c>
      <c r="M54" s="23" t="s">
        <v>833</v>
      </c>
      <c r="N54" s="23"/>
      <c r="O54"/>
      <c r="P54"/>
      <c r="Q54"/>
      <c r="R54"/>
      <c r="S54"/>
      <c r="T54"/>
      <c r="U54"/>
      <c r="V54"/>
    </row>
    <row r="55" spans="1:22" s="24" customFormat="1" x14ac:dyDescent="0.25">
      <c r="A55" s="23" t="s">
        <v>647</v>
      </c>
      <c r="B55" s="14">
        <v>1.1000000000000001</v>
      </c>
      <c r="C55" s="23" t="s">
        <v>67</v>
      </c>
      <c r="D55" s="28" t="s">
        <v>834</v>
      </c>
      <c r="E55" s="24" t="s">
        <v>28</v>
      </c>
      <c r="F55" s="24" t="s">
        <v>28</v>
      </c>
      <c r="G55" s="25">
        <v>0.42</v>
      </c>
      <c r="H55" s="26" t="s">
        <v>680</v>
      </c>
      <c r="I55" s="26">
        <v>1</v>
      </c>
      <c r="J55" s="27">
        <v>1</v>
      </c>
      <c r="K55" s="2">
        <f t="shared" si="0"/>
        <v>0.42</v>
      </c>
      <c r="L55" s="28" t="s">
        <v>1116</v>
      </c>
      <c r="M55" s="23" t="s">
        <v>1115</v>
      </c>
      <c r="N55" s="23"/>
      <c r="O55"/>
      <c r="P55"/>
      <c r="Q55"/>
      <c r="R55"/>
      <c r="S55"/>
      <c r="T55"/>
      <c r="U55"/>
      <c r="V55"/>
    </row>
    <row r="56" spans="1:22" s="24" customFormat="1" ht="23.1" customHeight="1" x14ac:dyDescent="0.25">
      <c r="A56" s="23" t="s">
        <v>647</v>
      </c>
      <c r="B56" s="14">
        <v>1.1000000000000001</v>
      </c>
      <c r="C56" s="23" t="s">
        <v>67</v>
      </c>
      <c r="D56" s="28" t="s">
        <v>692</v>
      </c>
      <c r="E56" s="24" t="s">
        <v>28</v>
      </c>
      <c r="F56" s="24" t="s">
        <v>28</v>
      </c>
      <c r="G56" s="25">
        <v>0.65</v>
      </c>
      <c r="H56" s="26" t="s">
        <v>650</v>
      </c>
      <c r="I56" s="26">
        <v>1</v>
      </c>
      <c r="J56" s="27">
        <f>200/36</f>
        <v>5.5555555555555554</v>
      </c>
      <c r="K56" s="2">
        <f t="shared" si="0"/>
        <v>0.11700000000000001</v>
      </c>
      <c r="L56" s="28" t="s">
        <v>835</v>
      </c>
      <c r="M56" s="23" t="s">
        <v>836</v>
      </c>
      <c r="N56" s="23"/>
      <c r="O56"/>
      <c r="P56"/>
      <c r="Q56"/>
      <c r="R56"/>
      <c r="S56"/>
      <c r="T56"/>
      <c r="U56"/>
      <c r="V56"/>
    </row>
    <row r="57" spans="1:22" s="24" customFormat="1" ht="22.5" x14ac:dyDescent="0.25">
      <c r="A57" s="23" t="s">
        <v>647</v>
      </c>
      <c r="B57" s="14">
        <v>1.1000000000000001</v>
      </c>
      <c r="C57" s="23" t="s">
        <v>67</v>
      </c>
      <c r="D57" s="28" t="s">
        <v>837</v>
      </c>
      <c r="E57" s="24" t="s">
        <v>1130</v>
      </c>
      <c r="F57" s="24" t="s">
        <v>28</v>
      </c>
      <c r="G57" s="25">
        <v>1.7</v>
      </c>
      <c r="H57" s="26" t="s">
        <v>693</v>
      </c>
      <c r="I57" s="26">
        <v>1</v>
      </c>
      <c r="J57" s="27">
        <f>150/12</f>
        <v>12.5</v>
      </c>
      <c r="K57" s="2">
        <f t="shared" si="0"/>
        <v>0.13600000000000001</v>
      </c>
      <c r="L57" s="28" t="s">
        <v>838</v>
      </c>
      <c r="M57" s="23" t="s">
        <v>1117</v>
      </c>
      <c r="N57" s="31"/>
      <c r="O57"/>
      <c r="P57"/>
      <c r="Q57"/>
      <c r="R57"/>
      <c r="S57"/>
      <c r="T57"/>
      <c r="U57"/>
      <c r="V57"/>
    </row>
    <row r="58" spans="1:22" s="24" customFormat="1" ht="22.5" customHeight="1" x14ac:dyDescent="0.25">
      <c r="A58" s="23" t="s">
        <v>647</v>
      </c>
      <c r="B58" s="14">
        <v>1.1000000000000001</v>
      </c>
      <c r="C58" s="23" t="s">
        <v>67</v>
      </c>
      <c r="D58" s="28" t="s">
        <v>684</v>
      </c>
      <c r="E58" s="24" t="s">
        <v>28</v>
      </c>
      <c r="F58" s="24" t="s">
        <v>28</v>
      </c>
      <c r="G58" s="25">
        <v>0.8</v>
      </c>
      <c r="H58" s="26" t="s">
        <v>680</v>
      </c>
      <c r="I58" s="26">
        <v>1</v>
      </c>
      <c r="J58" s="27">
        <v>1.76</v>
      </c>
      <c r="K58" s="2">
        <f t="shared" si="0"/>
        <v>0.45454545454545459</v>
      </c>
      <c r="L58" s="28" t="s">
        <v>839</v>
      </c>
      <c r="M58" s="23" t="s">
        <v>840</v>
      </c>
      <c r="N58" s="14"/>
      <c r="O58"/>
      <c r="P58"/>
      <c r="Q58"/>
      <c r="R58"/>
      <c r="S58"/>
      <c r="T58"/>
      <c r="U58"/>
      <c r="V58"/>
    </row>
    <row r="59" spans="1:22" s="24" customFormat="1" ht="15.6" customHeight="1" x14ac:dyDescent="0.25">
      <c r="A59" s="23" t="s">
        <v>647</v>
      </c>
      <c r="B59" s="14">
        <v>1.1000000000000001</v>
      </c>
      <c r="C59" s="23" t="s">
        <v>67</v>
      </c>
      <c r="D59" s="28" t="s">
        <v>682</v>
      </c>
      <c r="E59" s="24" t="s">
        <v>28</v>
      </c>
      <c r="F59" s="24" t="s">
        <v>28</v>
      </c>
      <c r="G59" s="25">
        <v>1.45</v>
      </c>
      <c r="H59" s="26" t="s">
        <v>671</v>
      </c>
      <c r="I59" s="26">
        <v>1</v>
      </c>
      <c r="J59" s="27">
        <v>2.63</v>
      </c>
      <c r="K59" s="2">
        <f t="shared" si="0"/>
        <v>0.5513307984790875</v>
      </c>
      <c r="L59" s="28" t="s">
        <v>841</v>
      </c>
      <c r="M59" s="23" t="s">
        <v>683</v>
      </c>
      <c r="N59" s="23"/>
      <c r="O59"/>
      <c r="P59"/>
      <c r="Q59"/>
      <c r="R59"/>
      <c r="S59"/>
      <c r="T59"/>
      <c r="U59"/>
      <c r="V59"/>
    </row>
    <row r="60" spans="1:22" s="24" customFormat="1" ht="21.95" customHeight="1" x14ac:dyDescent="0.25">
      <c r="A60" s="23" t="s">
        <v>647</v>
      </c>
      <c r="B60" s="14">
        <v>1.1000000000000001</v>
      </c>
      <c r="C60" s="23" t="s">
        <v>67</v>
      </c>
      <c r="D60" s="28" t="s">
        <v>687</v>
      </c>
      <c r="E60" s="24" t="s">
        <v>28</v>
      </c>
      <c r="F60" s="24" t="s">
        <v>28</v>
      </c>
      <c r="G60" s="25">
        <v>1.75</v>
      </c>
      <c r="H60" s="26" t="s">
        <v>671</v>
      </c>
      <c r="I60" s="26">
        <v>1</v>
      </c>
      <c r="J60" s="27">
        <v>5.56</v>
      </c>
      <c r="K60" s="2">
        <f t="shared" si="0"/>
        <v>0.31474820143884896</v>
      </c>
      <c r="L60" s="28" t="s">
        <v>842</v>
      </c>
      <c r="M60" s="23" t="s">
        <v>843</v>
      </c>
      <c r="N60" s="23"/>
      <c r="O60"/>
      <c r="P60"/>
      <c r="Q60"/>
      <c r="R60"/>
      <c r="S60"/>
      <c r="T60"/>
      <c r="U60"/>
      <c r="V60"/>
    </row>
    <row r="61" spans="1:22" s="24" customFormat="1" ht="21.95" customHeight="1" x14ac:dyDescent="0.25">
      <c r="A61" s="23" t="s">
        <v>647</v>
      </c>
      <c r="B61" s="14">
        <v>1.1000000000000001</v>
      </c>
      <c r="C61" s="23" t="s">
        <v>67</v>
      </c>
      <c r="D61" s="28" t="s">
        <v>844</v>
      </c>
      <c r="E61" s="24" t="s">
        <v>28</v>
      </c>
      <c r="F61" s="24" t="s">
        <v>28</v>
      </c>
      <c r="G61" s="25">
        <v>6.25</v>
      </c>
      <c r="H61" s="26">
        <v>5</v>
      </c>
      <c r="I61" s="26">
        <v>1</v>
      </c>
      <c r="J61" s="27">
        <v>2.5</v>
      </c>
      <c r="K61" s="2">
        <f t="shared" si="0"/>
        <v>2.5</v>
      </c>
      <c r="L61" s="28" t="s">
        <v>845</v>
      </c>
      <c r="M61" s="23" t="s">
        <v>846</v>
      </c>
      <c r="N61" s="23"/>
      <c r="O61"/>
      <c r="P61"/>
      <c r="Q61"/>
      <c r="R61"/>
      <c r="S61"/>
      <c r="T61"/>
      <c r="U61"/>
      <c r="V61"/>
    </row>
    <row r="62" spans="1:22" s="24" customFormat="1" ht="32.1" customHeight="1" x14ac:dyDescent="0.25">
      <c r="A62" s="23" t="s">
        <v>647</v>
      </c>
      <c r="B62" s="14">
        <v>1.1000000000000001</v>
      </c>
      <c r="C62" s="23" t="s">
        <v>67</v>
      </c>
      <c r="D62" s="28" t="s">
        <v>847</v>
      </c>
      <c r="E62" s="24" t="s">
        <v>28</v>
      </c>
      <c r="F62" s="24" t="s">
        <v>28</v>
      </c>
      <c r="G62" s="25">
        <v>1.5</v>
      </c>
      <c r="H62" s="26" t="s">
        <v>671</v>
      </c>
      <c r="I62" s="26">
        <v>1</v>
      </c>
      <c r="J62" s="27">
        <v>2.96</v>
      </c>
      <c r="K62" s="2">
        <f t="shared" si="0"/>
        <v>0.5067567567567568</v>
      </c>
      <c r="L62" s="28" t="s">
        <v>848</v>
      </c>
      <c r="M62" s="23" t="s">
        <v>849</v>
      </c>
      <c r="N62" s="23"/>
      <c r="O62"/>
      <c r="P62"/>
      <c r="Q62"/>
      <c r="R62"/>
      <c r="S62"/>
      <c r="T62"/>
      <c r="U62"/>
      <c r="V62"/>
    </row>
    <row r="63" spans="1:22" s="24" customFormat="1" ht="16.5" customHeight="1" x14ac:dyDescent="0.25">
      <c r="A63" s="23" t="s">
        <v>647</v>
      </c>
      <c r="B63" s="14">
        <v>1.1000000000000001</v>
      </c>
      <c r="C63" s="23" t="s">
        <v>67</v>
      </c>
      <c r="D63" s="28" t="s">
        <v>850</v>
      </c>
      <c r="E63" s="24" t="s">
        <v>28</v>
      </c>
      <c r="F63" s="24" t="s">
        <v>28</v>
      </c>
      <c r="G63" s="25">
        <v>1.3</v>
      </c>
      <c r="H63" s="26" t="s">
        <v>680</v>
      </c>
      <c r="I63" s="26">
        <v>1</v>
      </c>
      <c r="J63" s="27">
        <v>3.21</v>
      </c>
      <c r="K63" s="2">
        <f t="shared" si="0"/>
        <v>0.40498442367601251</v>
      </c>
      <c r="L63" s="28" t="s">
        <v>670</v>
      </c>
      <c r="M63" s="23" t="s">
        <v>851</v>
      </c>
      <c r="N63" s="23"/>
      <c r="O63"/>
      <c r="P63"/>
      <c r="Q63"/>
      <c r="R63"/>
      <c r="S63"/>
      <c r="T63"/>
      <c r="U63"/>
      <c r="V63"/>
    </row>
    <row r="64" spans="1:22" s="24" customFormat="1" x14ac:dyDescent="0.25">
      <c r="A64" s="23" t="s">
        <v>647</v>
      </c>
      <c r="B64" s="14">
        <v>1.1000000000000001</v>
      </c>
      <c r="C64" s="23" t="s">
        <v>67</v>
      </c>
      <c r="D64" s="28" t="s">
        <v>852</v>
      </c>
      <c r="E64" s="24" t="s">
        <v>723</v>
      </c>
      <c r="F64" s="24" t="s">
        <v>28</v>
      </c>
      <c r="G64" s="25">
        <v>2.25</v>
      </c>
      <c r="H64" s="26" t="s">
        <v>671</v>
      </c>
      <c r="I64" s="26">
        <v>1</v>
      </c>
      <c r="J64" s="27">
        <v>9.6199999999999992</v>
      </c>
      <c r="K64" s="2">
        <f t="shared" si="0"/>
        <v>0.2338877338877339</v>
      </c>
      <c r="L64" s="28" t="s">
        <v>853</v>
      </c>
      <c r="M64" s="23" t="s">
        <v>854</v>
      </c>
      <c r="N64" s="23"/>
      <c r="O64"/>
      <c r="P64"/>
      <c r="Q64"/>
      <c r="R64"/>
      <c r="S64"/>
      <c r="T64"/>
      <c r="U64"/>
      <c r="V64"/>
    </row>
    <row r="65" spans="1:22" s="24" customFormat="1" x14ac:dyDescent="0.25">
      <c r="A65" s="23" t="s">
        <v>647</v>
      </c>
      <c r="B65" s="14">
        <v>1.1000000000000001</v>
      </c>
      <c r="C65" s="23" t="s">
        <v>67</v>
      </c>
      <c r="D65" s="28" t="s">
        <v>855</v>
      </c>
      <c r="E65" s="24" t="s">
        <v>28</v>
      </c>
      <c r="F65" s="24" t="s">
        <v>28</v>
      </c>
      <c r="G65" s="25">
        <v>0.8</v>
      </c>
      <c r="H65" s="26" t="s">
        <v>693</v>
      </c>
      <c r="I65" s="26">
        <v>1</v>
      </c>
      <c r="J65" s="27">
        <v>1</v>
      </c>
      <c r="K65" s="2">
        <f t="shared" si="0"/>
        <v>0.8</v>
      </c>
      <c r="L65" s="28" t="s">
        <v>856</v>
      </c>
      <c r="M65" s="23" t="s">
        <v>857</v>
      </c>
      <c r="N65" s="31"/>
      <c r="O65"/>
      <c r="P65"/>
      <c r="Q65"/>
      <c r="R65"/>
      <c r="S65"/>
      <c r="T65"/>
      <c r="U65"/>
      <c r="V65"/>
    </row>
    <row r="66" spans="1:22" s="24" customFormat="1" x14ac:dyDescent="0.25">
      <c r="A66" s="23" t="s">
        <v>647</v>
      </c>
      <c r="B66" s="14">
        <v>1.1000000000000001</v>
      </c>
      <c r="C66" s="23" t="s">
        <v>67</v>
      </c>
      <c r="D66" s="28" t="s">
        <v>699</v>
      </c>
      <c r="E66" s="24" t="s">
        <v>700</v>
      </c>
      <c r="F66" s="24" t="s">
        <v>28</v>
      </c>
      <c r="G66" s="25">
        <v>2</v>
      </c>
      <c r="H66" s="26" t="s">
        <v>701</v>
      </c>
      <c r="I66" s="26">
        <v>1</v>
      </c>
      <c r="J66" s="27">
        <v>9.4600000000000009</v>
      </c>
      <c r="K66" s="2">
        <f t="shared" si="0"/>
        <v>0.21141649048625791</v>
      </c>
      <c r="L66" s="28" t="s">
        <v>858</v>
      </c>
      <c r="M66" s="23" t="s">
        <v>859</v>
      </c>
      <c r="N66" s="23"/>
      <c r="O66"/>
      <c r="P66"/>
      <c r="Q66"/>
      <c r="R66"/>
      <c r="S66"/>
      <c r="T66"/>
      <c r="U66"/>
      <c r="V66"/>
    </row>
    <row r="67" spans="1:22" s="24" customFormat="1" x14ac:dyDescent="0.25">
      <c r="A67" s="23" t="s">
        <v>647</v>
      </c>
      <c r="B67" s="14">
        <v>1.1000000000000001</v>
      </c>
      <c r="C67" s="23" t="s">
        <v>67</v>
      </c>
      <c r="D67" s="28" t="s">
        <v>715</v>
      </c>
      <c r="E67" s="24" t="s">
        <v>28</v>
      </c>
      <c r="F67" s="24" t="s">
        <v>28</v>
      </c>
      <c r="G67" s="25">
        <v>1.61</v>
      </c>
      <c r="H67" s="26" t="s">
        <v>712</v>
      </c>
      <c r="I67" s="26">
        <v>1</v>
      </c>
      <c r="J67" s="27">
        <v>1</v>
      </c>
      <c r="K67" s="2">
        <f t="shared" ref="K67:K103" si="1">G67*I67/J67</f>
        <v>1.61</v>
      </c>
      <c r="L67" s="28" t="s">
        <v>860</v>
      </c>
      <c r="M67" s="23" t="s">
        <v>861</v>
      </c>
      <c r="N67" s="23"/>
      <c r="O67"/>
      <c r="P67"/>
      <c r="Q67"/>
      <c r="R67"/>
      <c r="S67"/>
      <c r="T67"/>
      <c r="U67"/>
      <c r="V67"/>
    </row>
    <row r="68" spans="1:22" s="24" customFormat="1" x14ac:dyDescent="0.25">
      <c r="A68" s="23" t="s">
        <v>647</v>
      </c>
      <c r="B68" s="14">
        <v>1.1000000000000001</v>
      </c>
      <c r="C68" s="23" t="s">
        <v>67</v>
      </c>
      <c r="D68" s="28" t="s">
        <v>718</v>
      </c>
      <c r="E68" s="24" t="s">
        <v>28</v>
      </c>
      <c r="F68" s="24" t="s">
        <v>28</v>
      </c>
      <c r="G68" s="25">
        <v>0.5</v>
      </c>
      <c r="H68" s="26" t="s">
        <v>679</v>
      </c>
      <c r="I68" s="26">
        <v>1</v>
      </c>
      <c r="J68" s="27">
        <v>1</v>
      </c>
      <c r="K68" s="2">
        <f t="shared" si="1"/>
        <v>0.5</v>
      </c>
      <c r="L68" s="28" t="s">
        <v>862</v>
      </c>
      <c r="M68" s="23" t="s">
        <v>863</v>
      </c>
      <c r="N68" s="23"/>
      <c r="O68"/>
      <c r="P68"/>
      <c r="Q68"/>
      <c r="R68"/>
      <c r="S68"/>
      <c r="T68"/>
      <c r="U68"/>
      <c r="V68"/>
    </row>
    <row r="69" spans="1:22" s="24" customFormat="1" ht="22.5" x14ac:dyDescent="0.25">
      <c r="A69" s="23" t="s">
        <v>647</v>
      </c>
      <c r="B69" s="14">
        <v>1.1000000000000001</v>
      </c>
      <c r="C69" s="23" t="s">
        <v>67</v>
      </c>
      <c r="D69" s="28" t="s">
        <v>864</v>
      </c>
      <c r="E69" s="24" t="s">
        <v>28</v>
      </c>
      <c r="F69" s="24" t="s">
        <v>28</v>
      </c>
      <c r="G69" s="25">
        <v>0.9</v>
      </c>
      <c r="H69" s="26" t="s">
        <v>660</v>
      </c>
      <c r="I69" s="26">
        <v>1</v>
      </c>
      <c r="J69" s="27">
        <v>4.4000000000000004</v>
      </c>
      <c r="K69" s="2">
        <f t="shared" si="1"/>
        <v>0.20454545454545453</v>
      </c>
      <c r="L69" s="28" t="s">
        <v>865</v>
      </c>
      <c r="M69" s="23" t="s">
        <v>866</v>
      </c>
      <c r="N69" s="23"/>
      <c r="O69"/>
      <c r="P69"/>
      <c r="Q69"/>
      <c r="R69"/>
      <c r="S69"/>
      <c r="T69"/>
      <c r="U69"/>
      <c r="V69"/>
    </row>
    <row r="70" spans="1:22" s="24" customFormat="1" x14ac:dyDescent="0.25">
      <c r="A70" s="23" t="s">
        <v>647</v>
      </c>
      <c r="B70" s="14">
        <v>1.1000000000000001</v>
      </c>
      <c r="C70" s="23" t="s">
        <v>67</v>
      </c>
      <c r="D70" s="28" t="s">
        <v>867</v>
      </c>
      <c r="E70" s="24" t="s">
        <v>28</v>
      </c>
      <c r="F70" s="24" t="s">
        <v>28</v>
      </c>
      <c r="G70" s="25">
        <v>0.8</v>
      </c>
      <c r="H70" s="26" t="s">
        <v>669</v>
      </c>
      <c r="I70" s="26">
        <v>1</v>
      </c>
      <c r="J70" s="27">
        <v>1</v>
      </c>
      <c r="K70" s="2">
        <f t="shared" si="1"/>
        <v>0.8</v>
      </c>
      <c r="L70" s="28" t="s">
        <v>724</v>
      </c>
      <c r="M70" s="23" t="s">
        <v>868</v>
      </c>
      <c r="N70" s="32"/>
      <c r="O70"/>
      <c r="P70"/>
      <c r="Q70"/>
      <c r="R70"/>
      <c r="S70"/>
      <c r="T70"/>
      <c r="U70"/>
      <c r="V70"/>
    </row>
    <row r="71" spans="1:22" s="24" customFormat="1" ht="22.5" x14ac:dyDescent="0.25">
      <c r="A71" s="23" t="s">
        <v>647</v>
      </c>
      <c r="B71" s="14">
        <v>1.1000000000000001</v>
      </c>
      <c r="C71" s="23" t="s">
        <v>67</v>
      </c>
      <c r="D71" s="28" t="s">
        <v>673</v>
      </c>
      <c r="E71" s="24" t="s">
        <v>28</v>
      </c>
      <c r="F71" s="24" t="s">
        <v>28</v>
      </c>
      <c r="G71" s="25">
        <v>2.19</v>
      </c>
      <c r="H71" s="26" t="s">
        <v>675</v>
      </c>
      <c r="I71" s="26">
        <v>1</v>
      </c>
      <c r="J71" s="27">
        <v>1</v>
      </c>
      <c r="K71" s="2">
        <f t="shared" si="1"/>
        <v>2.19</v>
      </c>
      <c r="L71" s="28" t="s">
        <v>714</v>
      </c>
      <c r="M71" s="23" t="s">
        <v>869</v>
      </c>
      <c r="N71" s="23"/>
      <c r="O71"/>
      <c r="P71"/>
      <c r="Q71"/>
      <c r="R71"/>
      <c r="S71"/>
      <c r="T71"/>
      <c r="U71"/>
      <c r="V71"/>
    </row>
    <row r="72" spans="1:22" s="24" customFormat="1" x14ac:dyDescent="0.25">
      <c r="A72" s="23" t="s">
        <v>647</v>
      </c>
      <c r="B72" s="14">
        <v>1.1000000000000001</v>
      </c>
      <c r="C72" s="23" t="s">
        <v>67</v>
      </c>
      <c r="D72" s="28" t="s">
        <v>694</v>
      </c>
      <c r="E72" s="24" t="s">
        <v>28</v>
      </c>
      <c r="F72" s="24" t="s">
        <v>28</v>
      </c>
      <c r="G72" s="25">
        <v>0.5</v>
      </c>
      <c r="H72" s="26" t="s">
        <v>870</v>
      </c>
      <c r="I72" s="26">
        <v>1</v>
      </c>
      <c r="J72" s="27">
        <v>1</v>
      </c>
      <c r="K72" s="2">
        <f t="shared" si="1"/>
        <v>0.5</v>
      </c>
      <c r="L72" s="28" t="s">
        <v>871</v>
      </c>
      <c r="M72" s="23" t="s">
        <v>872</v>
      </c>
      <c r="N72" s="23"/>
      <c r="O72"/>
      <c r="P72"/>
      <c r="Q72"/>
      <c r="R72"/>
      <c r="S72"/>
      <c r="T72"/>
      <c r="U72"/>
      <c r="V72"/>
    </row>
    <row r="73" spans="1:22" s="24" customFormat="1" x14ac:dyDescent="0.25">
      <c r="A73" s="23" t="s">
        <v>647</v>
      </c>
      <c r="B73" s="14">
        <v>1.1000000000000001</v>
      </c>
      <c r="C73" s="23" t="s">
        <v>67</v>
      </c>
      <c r="D73" s="28" t="s">
        <v>873</v>
      </c>
      <c r="E73" s="24" t="s">
        <v>28</v>
      </c>
      <c r="F73" s="24" t="s">
        <v>28</v>
      </c>
      <c r="G73" s="25">
        <v>0.95</v>
      </c>
      <c r="H73" s="26" t="s">
        <v>663</v>
      </c>
      <c r="I73" s="26">
        <v>1</v>
      </c>
      <c r="J73" s="27">
        <v>2</v>
      </c>
      <c r="K73" s="2">
        <f t="shared" si="1"/>
        <v>0.47499999999999998</v>
      </c>
      <c r="L73" s="28" t="s">
        <v>874</v>
      </c>
      <c r="M73" s="23" t="s">
        <v>696</v>
      </c>
      <c r="N73" s="23"/>
      <c r="O73"/>
      <c r="P73"/>
      <c r="Q73"/>
      <c r="R73"/>
      <c r="S73"/>
      <c r="T73"/>
      <c r="U73"/>
      <c r="V73"/>
    </row>
    <row r="74" spans="1:22" s="24" customFormat="1" x14ac:dyDescent="0.25">
      <c r="A74" s="23" t="s">
        <v>647</v>
      </c>
      <c r="B74" s="14">
        <v>1.1000000000000001</v>
      </c>
      <c r="C74" s="23" t="s">
        <v>67</v>
      </c>
      <c r="D74" s="28" t="s">
        <v>691</v>
      </c>
      <c r="E74" s="24" t="s">
        <v>28</v>
      </c>
      <c r="F74" s="24" t="s">
        <v>28</v>
      </c>
      <c r="G74" s="25">
        <v>1.1499999999999999</v>
      </c>
      <c r="H74" s="26" t="s">
        <v>875</v>
      </c>
      <c r="I74" s="26">
        <v>1</v>
      </c>
      <c r="J74" s="27">
        <f>25/0.2</f>
        <v>125</v>
      </c>
      <c r="K74" s="2">
        <f t="shared" si="1"/>
        <v>9.1999999999999998E-3</v>
      </c>
      <c r="L74" s="28" t="s">
        <v>876</v>
      </c>
      <c r="M74" s="23" t="s">
        <v>877</v>
      </c>
      <c r="N74" s="23"/>
      <c r="O74"/>
      <c r="P74"/>
      <c r="Q74"/>
      <c r="R74"/>
      <c r="S74"/>
      <c r="T74"/>
      <c r="U74"/>
      <c r="V74"/>
    </row>
    <row r="75" spans="1:22" s="24" customFormat="1" x14ac:dyDescent="0.25">
      <c r="A75" s="23" t="s">
        <v>647</v>
      </c>
      <c r="B75" s="14">
        <v>1.1000000000000001</v>
      </c>
      <c r="C75" s="23" t="s">
        <v>67</v>
      </c>
      <c r="D75" s="28" t="s">
        <v>878</v>
      </c>
      <c r="E75" s="24" t="s">
        <v>28</v>
      </c>
      <c r="F75" s="24" t="s">
        <v>28</v>
      </c>
      <c r="G75" s="25">
        <v>0.55000000000000004</v>
      </c>
      <c r="H75" s="26">
        <v>1</v>
      </c>
      <c r="I75" s="26">
        <v>2</v>
      </c>
      <c r="J75" s="27">
        <v>1</v>
      </c>
      <c r="K75" s="2">
        <f t="shared" si="1"/>
        <v>1.1000000000000001</v>
      </c>
      <c r="L75" s="28" t="s">
        <v>879</v>
      </c>
      <c r="M75" s="23" t="s">
        <v>880</v>
      </c>
      <c r="N75" s="23"/>
      <c r="O75"/>
      <c r="P75"/>
      <c r="Q75"/>
      <c r="R75"/>
      <c r="S75"/>
      <c r="T75"/>
      <c r="U75"/>
      <c r="V75"/>
    </row>
    <row r="76" spans="1:22" s="24" customFormat="1" ht="22.5" x14ac:dyDescent="0.25">
      <c r="A76" s="23" t="s">
        <v>647</v>
      </c>
      <c r="B76" s="14">
        <v>1.1000000000000001</v>
      </c>
      <c r="C76" s="23" t="s">
        <v>67</v>
      </c>
      <c r="D76" s="28" t="s">
        <v>881</v>
      </c>
      <c r="E76" s="24" t="s">
        <v>28</v>
      </c>
      <c r="F76" s="24" t="s">
        <v>28</v>
      </c>
      <c r="G76" s="25">
        <v>0.5</v>
      </c>
      <c r="H76" s="26">
        <v>1</v>
      </c>
      <c r="I76" s="26">
        <v>1</v>
      </c>
      <c r="J76" s="27">
        <v>1</v>
      </c>
      <c r="K76" s="2">
        <f t="shared" si="1"/>
        <v>0.5</v>
      </c>
      <c r="L76" s="28" t="s">
        <v>882</v>
      </c>
      <c r="M76" s="23" t="s">
        <v>1118</v>
      </c>
      <c r="N76" s="23"/>
      <c r="O76"/>
      <c r="P76"/>
      <c r="Q76"/>
      <c r="R76"/>
      <c r="S76"/>
      <c r="T76"/>
      <c r="U76"/>
      <c r="V76"/>
    </row>
    <row r="77" spans="1:22" s="24" customFormat="1" ht="22.5" x14ac:dyDescent="0.25">
      <c r="A77" s="23" t="s">
        <v>647</v>
      </c>
      <c r="B77" s="14">
        <v>1.1000000000000001</v>
      </c>
      <c r="C77" s="23" t="s">
        <v>67</v>
      </c>
      <c r="D77" s="28" t="s">
        <v>883</v>
      </c>
      <c r="E77" s="24" t="s">
        <v>28</v>
      </c>
      <c r="F77" s="24" t="s">
        <v>28</v>
      </c>
      <c r="G77" s="25">
        <v>3.75</v>
      </c>
      <c r="H77" s="26">
        <v>4</v>
      </c>
      <c r="I77" s="26">
        <v>1</v>
      </c>
      <c r="J77" s="27">
        <v>2</v>
      </c>
      <c r="K77" s="2">
        <f t="shared" si="1"/>
        <v>1.875</v>
      </c>
      <c r="L77" s="28" t="s">
        <v>884</v>
      </c>
      <c r="M77" s="23" t="s">
        <v>885</v>
      </c>
      <c r="N77" s="23"/>
      <c r="O77"/>
      <c r="P77"/>
      <c r="Q77"/>
      <c r="R77"/>
      <c r="S77"/>
      <c r="T77"/>
      <c r="U77"/>
      <c r="V77"/>
    </row>
    <row r="78" spans="1:22" s="24" customFormat="1" ht="24.95" customHeight="1" x14ac:dyDescent="0.25">
      <c r="A78" s="23" t="s">
        <v>647</v>
      </c>
      <c r="B78" s="14">
        <v>1.1000000000000001</v>
      </c>
      <c r="C78" s="23" t="s">
        <v>67</v>
      </c>
      <c r="D78" s="28" t="s">
        <v>886</v>
      </c>
      <c r="E78" s="24" t="s">
        <v>28</v>
      </c>
      <c r="F78" s="24" t="s">
        <v>28</v>
      </c>
      <c r="G78" s="25">
        <v>3</v>
      </c>
      <c r="H78" s="26" t="s">
        <v>695</v>
      </c>
      <c r="I78" s="26">
        <v>1</v>
      </c>
      <c r="J78" s="27">
        <f>400/162</f>
        <v>2.4691358024691357</v>
      </c>
      <c r="K78" s="2">
        <f t="shared" si="1"/>
        <v>1.2150000000000001</v>
      </c>
      <c r="L78" s="28" t="s">
        <v>887</v>
      </c>
      <c r="M78" s="28" t="s">
        <v>1131</v>
      </c>
      <c r="N78" s="23"/>
      <c r="O78"/>
      <c r="P78"/>
      <c r="Q78"/>
      <c r="R78"/>
      <c r="S78"/>
      <c r="T78"/>
      <c r="U78"/>
      <c r="V78"/>
    </row>
    <row r="79" spans="1:22" s="24" customFormat="1" ht="22.5" x14ac:dyDescent="0.25">
      <c r="A79" s="23" t="s">
        <v>647</v>
      </c>
      <c r="B79" s="14">
        <v>1.1000000000000001</v>
      </c>
      <c r="C79" s="23" t="s">
        <v>67</v>
      </c>
      <c r="D79" s="28" t="s">
        <v>888</v>
      </c>
      <c r="E79" s="24" t="s">
        <v>28</v>
      </c>
      <c r="F79" s="24" t="s">
        <v>28</v>
      </c>
      <c r="G79" s="25">
        <v>1.95</v>
      </c>
      <c r="H79" s="26" t="s">
        <v>680</v>
      </c>
      <c r="I79" s="26">
        <v>1</v>
      </c>
      <c r="J79" s="27">
        <f>900/265</f>
        <v>3.3962264150943398</v>
      </c>
      <c r="K79" s="2">
        <f t="shared" si="1"/>
        <v>0.5741666666666666</v>
      </c>
      <c r="L79" s="28" t="s">
        <v>889</v>
      </c>
      <c r="M79" s="14" t="s">
        <v>1119</v>
      </c>
      <c r="N79" s="23"/>
      <c r="O79"/>
      <c r="P79"/>
      <c r="Q79"/>
      <c r="R79"/>
      <c r="S79"/>
      <c r="T79"/>
      <c r="U79"/>
      <c r="V79"/>
    </row>
    <row r="80" spans="1:22" s="24" customFormat="1" x14ac:dyDescent="0.25">
      <c r="A80" s="23" t="s">
        <v>647</v>
      </c>
      <c r="B80" s="14">
        <v>1.1000000000000001</v>
      </c>
      <c r="C80" s="23" t="s">
        <v>67</v>
      </c>
      <c r="D80" s="28" t="s">
        <v>890</v>
      </c>
      <c r="E80" s="24" t="s">
        <v>28</v>
      </c>
      <c r="F80" s="24" t="s">
        <v>28</v>
      </c>
      <c r="G80" s="25">
        <v>1.2</v>
      </c>
      <c r="H80" s="26" t="s">
        <v>891</v>
      </c>
      <c r="I80" s="26">
        <v>1</v>
      </c>
      <c r="J80" s="27">
        <v>1</v>
      </c>
      <c r="K80" s="2">
        <f t="shared" si="1"/>
        <v>1.2</v>
      </c>
      <c r="L80" s="28" t="s">
        <v>882</v>
      </c>
      <c r="M80" s="23" t="s">
        <v>1120</v>
      </c>
      <c r="N80" s="23"/>
      <c r="O80"/>
      <c r="P80"/>
      <c r="Q80"/>
      <c r="R80"/>
      <c r="S80"/>
      <c r="T80"/>
      <c r="U80"/>
      <c r="V80"/>
    </row>
    <row r="81" spans="1:22" s="24" customFormat="1" ht="18.600000000000001" customHeight="1" x14ac:dyDescent="0.25">
      <c r="A81" s="23" t="s">
        <v>647</v>
      </c>
      <c r="B81" s="14">
        <v>1.1000000000000001</v>
      </c>
      <c r="C81" s="23" t="s">
        <v>67</v>
      </c>
      <c r="D81" s="28" t="s">
        <v>892</v>
      </c>
      <c r="E81" s="24" t="s">
        <v>28</v>
      </c>
      <c r="F81" s="24" t="s">
        <v>28</v>
      </c>
      <c r="G81" s="25">
        <v>2.6</v>
      </c>
      <c r="H81" s="26">
        <v>2</v>
      </c>
      <c r="I81" s="26">
        <v>1</v>
      </c>
      <c r="J81" s="27">
        <v>1</v>
      </c>
      <c r="K81" s="2">
        <f t="shared" si="1"/>
        <v>2.6</v>
      </c>
      <c r="L81" s="28" t="s">
        <v>893</v>
      </c>
      <c r="M81" s="23" t="s">
        <v>894</v>
      </c>
      <c r="N81" s="23"/>
      <c r="O81"/>
      <c r="P81"/>
      <c r="Q81"/>
      <c r="R81"/>
      <c r="S81"/>
      <c r="T81"/>
      <c r="U81"/>
      <c r="V81"/>
    </row>
    <row r="82" spans="1:22" s="24" customFormat="1" ht="56.25" x14ac:dyDescent="0.25">
      <c r="A82" s="23" t="s">
        <v>647</v>
      </c>
      <c r="B82" s="14">
        <v>1.1000000000000001</v>
      </c>
      <c r="C82" s="23" t="s">
        <v>67</v>
      </c>
      <c r="D82" s="28" t="s">
        <v>895</v>
      </c>
      <c r="E82" s="24" t="s">
        <v>28</v>
      </c>
      <c r="F82" s="24" t="s">
        <v>28</v>
      </c>
      <c r="G82" s="25">
        <v>4.8</v>
      </c>
      <c r="H82" s="26">
        <v>1</v>
      </c>
      <c r="I82" s="26">
        <v>1</v>
      </c>
      <c r="J82" s="27">
        <v>1</v>
      </c>
      <c r="K82" s="2">
        <f t="shared" si="1"/>
        <v>4.8</v>
      </c>
      <c r="L82" s="28" t="s">
        <v>896</v>
      </c>
      <c r="M82" s="23" t="s">
        <v>897</v>
      </c>
      <c r="N82" s="23"/>
      <c r="O82"/>
      <c r="P82"/>
      <c r="Q82"/>
      <c r="R82"/>
      <c r="S82"/>
      <c r="T82"/>
      <c r="U82"/>
      <c r="V82"/>
    </row>
    <row r="83" spans="1:22" s="24" customFormat="1" ht="17.100000000000001" customHeight="1" x14ac:dyDescent="0.25">
      <c r="A83" s="23" t="s">
        <v>647</v>
      </c>
      <c r="B83" s="14">
        <v>1.1000000000000001</v>
      </c>
      <c r="C83" s="23" t="s">
        <v>67</v>
      </c>
      <c r="D83" s="28" t="s">
        <v>898</v>
      </c>
      <c r="E83" s="24" t="s">
        <v>697</v>
      </c>
      <c r="F83" s="24" t="s">
        <v>28</v>
      </c>
      <c r="G83" s="25">
        <v>1.2</v>
      </c>
      <c r="H83" s="26" t="s">
        <v>698</v>
      </c>
      <c r="I83" s="26">
        <v>1</v>
      </c>
      <c r="J83" s="27">
        <v>1</v>
      </c>
      <c r="K83" s="2">
        <f t="shared" si="1"/>
        <v>1.2</v>
      </c>
      <c r="L83" s="28" t="s">
        <v>899</v>
      </c>
      <c r="M83" s="28" t="s">
        <v>1121</v>
      </c>
      <c r="N83" s="23"/>
      <c r="O83"/>
      <c r="P83"/>
      <c r="Q83"/>
      <c r="R83"/>
      <c r="S83"/>
      <c r="T83"/>
      <c r="U83"/>
      <c r="V83"/>
    </row>
    <row r="84" spans="1:22" s="24" customFormat="1" x14ac:dyDescent="0.25">
      <c r="A84" s="23" t="s">
        <v>647</v>
      </c>
      <c r="B84" s="14">
        <v>1.1000000000000001</v>
      </c>
      <c r="C84" s="23" t="s">
        <v>67</v>
      </c>
      <c r="D84" s="28" t="s">
        <v>900</v>
      </c>
      <c r="E84" s="24" t="s">
        <v>28</v>
      </c>
      <c r="F84" s="24" t="s">
        <v>28</v>
      </c>
      <c r="G84" s="25">
        <v>0.55000000000000004</v>
      </c>
      <c r="H84" s="26">
        <v>1</v>
      </c>
      <c r="I84" s="26">
        <v>1</v>
      </c>
      <c r="J84" s="27">
        <v>1</v>
      </c>
      <c r="K84" s="2">
        <f t="shared" si="1"/>
        <v>0.55000000000000004</v>
      </c>
      <c r="L84" s="28" t="s">
        <v>901</v>
      </c>
      <c r="M84" s="23" t="s">
        <v>902</v>
      </c>
      <c r="N84" s="23"/>
      <c r="O84"/>
      <c r="P84"/>
      <c r="Q84"/>
      <c r="R84"/>
      <c r="S84"/>
      <c r="T84"/>
      <c r="U84"/>
      <c r="V84"/>
    </row>
    <row r="85" spans="1:22" s="24" customFormat="1" x14ac:dyDescent="0.25">
      <c r="A85" s="23" t="s">
        <v>647</v>
      </c>
      <c r="B85" s="14">
        <v>1.1000000000000001</v>
      </c>
      <c r="C85" s="23" t="s">
        <v>67</v>
      </c>
      <c r="D85" s="28" t="s">
        <v>903</v>
      </c>
      <c r="E85" s="24" t="s">
        <v>28</v>
      </c>
      <c r="F85" s="24" t="s">
        <v>28</v>
      </c>
      <c r="G85" s="25">
        <v>1.85</v>
      </c>
      <c r="H85" s="26" t="s">
        <v>680</v>
      </c>
      <c r="I85" s="26">
        <v>1</v>
      </c>
      <c r="J85" s="27">
        <v>5.63</v>
      </c>
      <c r="K85" s="2">
        <f t="shared" si="1"/>
        <v>0.32859680284191833</v>
      </c>
      <c r="L85" s="28" t="s">
        <v>904</v>
      </c>
      <c r="M85" s="23" t="s">
        <v>905</v>
      </c>
      <c r="N85" s="23"/>
      <c r="O85"/>
      <c r="P85"/>
      <c r="Q85"/>
      <c r="R85"/>
      <c r="S85"/>
      <c r="T85"/>
      <c r="U85"/>
      <c r="V85"/>
    </row>
    <row r="86" spans="1:22" s="24" customFormat="1" x14ac:dyDescent="0.25">
      <c r="A86" s="23" t="s">
        <v>647</v>
      </c>
      <c r="B86" s="14">
        <v>1.1000000000000001</v>
      </c>
      <c r="C86" s="23" t="s">
        <v>67</v>
      </c>
      <c r="D86" s="28" t="s">
        <v>906</v>
      </c>
      <c r="E86" s="24" t="s">
        <v>28</v>
      </c>
      <c r="F86" s="24" t="s">
        <v>28</v>
      </c>
      <c r="G86" s="25">
        <v>1.2</v>
      </c>
      <c r="H86" s="26">
        <v>4</v>
      </c>
      <c r="I86" s="26">
        <v>1</v>
      </c>
      <c r="J86" s="27">
        <v>2</v>
      </c>
      <c r="K86" s="2">
        <f t="shared" si="1"/>
        <v>0.6</v>
      </c>
      <c r="L86" s="28" t="s">
        <v>907</v>
      </c>
      <c r="M86" s="23" t="s">
        <v>908</v>
      </c>
      <c r="N86" s="23"/>
      <c r="O86"/>
      <c r="P86"/>
      <c r="Q86"/>
      <c r="R86"/>
      <c r="S86"/>
      <c r="T86"/>
      <c r="U86"/>
      <c r="V86"/>
    </row>
    <row r="87" spans="1:22" s="24" customFormat="1" ht="24.95" customHeight="1" x14ac:dyDescent="0.25">
      <c r="A87" s="23" t="s">
        <v>647</v>
      </c>
      <c r="B87" s="14">
        <v>1.1000000000000001</v>
      </c>
      <c r="C87" s="23" t="s">
        <v>67</v>
      </c>
      <c r="D87" s="28" t="s">
        <v>909</v>
      </c>
      <c r="E87" s="24" t="s">
        <v>28</v>
      </c>
      <c r="F87" s="24" t="s">
        <v>28</v>
      </c>
      <c r="G87" s="25">
        <v>2.99</v>
      </c>
      <c r="H87" s="26" t="s">
        <v>671</v>
      </c>
      <c r="I87" s="26">
        <v>1</v>
      </c>
      <c r="J87" s="27">
        <v>8.33</v>
      </c>
      <c r="K87" s="2">
        <f t="shared" si="1"/>
        <v>0.35894357743097244</v>
      </c>
      <c r="L87" s="28" t="s">
        <v>910</v>
      </c>
      <c r="M87" s="23" t="s">
        <v>911</v>
      </c>
      <c r="N87" s="23"/>
      <c r="O87"/>
      <c r="P87"/>
      <c r="Q87"/>
      <c r="R87"/>
      <c r="S87"/>
      <c r="T87"/>
      <c r="U87"/>
      <c r="V87"/>
    </row>
    <row r="88" spans="1:22" s="24" customFormat="1" x14ac:dyDescent="0.25">
      <c r="A88" s="23" t="s">
        <v>647</v>
      </c>
      <c r="B88" s="14">
        <v>1.1000000000000001</v>
      </c>
      <c r="C88" s="23" t="s">
        <v>67</v>
      </c>
      <c r="D88" s="28" t="s">
        <v>912</v>
      </c>
      <c r="E88" s="24" t="s">
        <v>28</v>
      </c>
      <c r="F88" s="24" t="s">
        <v>28</v>
      </c>
      <c r="G88" s="25">
        <v>4.5</v>
      </c>
      <c r="H88" s="26" t="s">
        <v>695</v>
      </c>
      <c r="I88" s="26">
        <v>1</v>
      </c>
      <c r="J88" s="27">
        <v>1.6</v>
      </c>
      <c r="K88" s="2">
        <f t="shared" si="1"/>
        <v>2.8125</v>
      </c>
      <c r="L88" s="28" t="s">
        <v>714</v>
      </c>
      <c r="M88" s="23" t="s">
        <v>1122</v>
      </c>
      <c r="N88" s="23"/>
      <c r="O88"/>
      <c r="P88"/>
      <c r="Q88"/>
      <c r="R88"/>
      <c r="S88"/>
      <c r="T88"/>
      <c r="U88"/>
      <c r="V88"/>
    </row>
    <row r="89" spans="1:22" s="24" customFormat="1" x14ac:dyDescent="0.25">
      <c r="A89" s="23" t="s">
        <v>647</v>
      </c>
      <c r="B89" s="14">
        <v>1.1000000000000001</v>
      </c>
      <c r="C89" s="23" t="s">
        <v>67</v>
      </c>
      <c r="D89" s="28" t="s">
        <v>913</v>
      </c>
      <c r="E89" s="24" t="s">
        <v>28</v>
      </c>
      <c r="F89" s="24" t="s">
        <v>28</v>
      </c>
      <c r="G89" s="25">
        <v>1.5</v>
      </c>
      <c r="H89" s="26" t="s">
        <v>663</v>
      </c>
      <c r="I89" s="26">
        <v>1</v>
      </c>
      <c r="J89" s="27">
        <v>10</v>
      </c>
      <c r="K89" s="2">
        <f t="shared" si="1"/>
        <v>0.15</v>
      </c>
      <c r="L89" s="28" t="s">
        <v>702</v>
      </c>
      <c r="M89" s="23" t="s">
        <v>914</v>
      </c>
      <c r="N89" s="23"/>
      <c r="O89"/>
      <c r="P89"/>
      <c r="Q89"/>
      <c r="R89"/>
      <c r="S89"/>
      <c r="T89"/>
      <c r="U89"/>
      <c r="V89"/>
    </row>
    <row r="90" spans="1:22" s="24" customFormat="1" ht="22.5" x14ac:dyDescent="0.25">
      <c r="A90" s="23" t="s">
        <v>647</v>
      </c>
      <c r="B90" s="14">
        <v>1.1000000000000001</v>
      </c>
      <c r="C90" s="23" t="s">
        <v>67</v>
      </c>
      <c r="D90" s="28" t="s">
        <v>915</v>
      </c>
      <c r="E90" s="24" t="s">
        <v>28</v>
      </c>
      <c r="F90" s="24" t="s">
        <v>28</v>
      </c>
      <c r="G90" s="25">
        <v>1.45</v>
      </c>
      <c r="H90" s="26" t="s">
        <v>722</v>
      </c>
      <c r="I90" s="26">
        <v>1</v>
      </c>
      <c r="J90" s="27">
        <v>3.8</v>
      </c>
      <c r="K90" s="2">
        <f t="shared" si="1"/>
        <v>0.38157894736842107</v>
      </c>
      <c r="L90" s="28" t="s">
        <v>916</v>
      </c>
      <c r="M90" s="23" t="s">
        <v>1123</v>
      </c>
      <c r="N90" s="23"/>
      <c r="O90"/>
      <c r="P90"/>
      <c r="Q90"/>
      <c r="R90"/>
      <c r="S90"/>
      <c r="T90"/>
      <c r="U90"/>
      <c r="V90"/>
    </row>
    <row r="91" spans="1:22" s="24" customFormat="1" x14ac:dyDescent="0.25">
      <c r="A91" s="23" t="s">
        <v>647</v>
      </c>
      <c r="B91" s="14">
        <v>1.1000000000000001</v>
      </c>
      <c r="C91" s="23" t="s">
        <v>67</v>
      </c>
      <c r="D91" s="28" t="s">
        <v>917</v>
      </c>
      <c r="E91" s="24" t="s">
        <v>918</v>
      </c>
      <c r="F91" s="24" t="s">
        <v>28</v>
      </c>
      <c r="G91" s="25">
        <v>2</v>
      </c>
      <c r="H91" s="26" t="s">
        <v>919</v>
      </c>
      <c r="I91" s="26">
        <v>1</v>
      </c>
      <c r="J91" s="27">
        <v>26.67</v>
      </c>
      <c r="K91" s="2">
        <f t="shared" si="1"/>
        <v>7.4990626171728525E-2</v>
      </c>
      <c r="L91" s="28" t="s">
        <v>920</v>
      </c>
      <c r="M91" s="23" t="s">
        <v>921</v>
      </c>
      <c r="N91" s="23"/>
      <c r="O91"/>
      <c r="P91"/>
      <c r="Q91"/>
      <c r="R91"/>
      <c r="S91"/>
      <c r="T91"/>
      <c r="U91"/>
      <c r="V91"/>
    </row>
    <row r="92" spans="1:22" s="24" customFormat="1" x14ac:dyDescent="0.25">
      <c r="A92" s="23" t="s">
        <v>647</v>
      </c>
      <c r="B92" s="14">
        <v>1.1000000000000001</v>
      </c>
      <c r="C92" s="23" t="s">
        <v>67</v>
      </c>
      <c r="D92" s="28" t="s">
        <v>922</v>
      </c>
      <c r="E92" s="24" t="s">
        <v>28</v>
      </c>
      <c r="F92" s="24" t="s">
        <v>28</v>
      </c>
      <c r="G92" s="25">
        <v>0.6</v>
      </c>
      <c r="H92" s="26" t="s">
        <v>663</v>
      </c>
      <c r="I92" s="26">
        <v>1</v>
      </c>
      <c r="J92" s="27">
        <v>2.63</v>
      </c>
      <c r="K92" s="2">
        <f t="shared" si="1"/>
        <v>0.22813688212927757</v>
      </c>
      <c r="L92" s="28" t="s">
        <v>776</v>
      </c>
      <c r="M92" s="28" t="s">
        <v>1124</v>
      </c>
      <c r="N92" s="23"/>
      <c r="O92"/>
      <c r="P92"/>
      <c r="Q92"/>
      <c r="R92"/>
      <c r="S92"/>
      <c r="T92"/>
      <c r="U92"/>
      <c r="V92"/>
    </row>
    <row r="93" spans="1:22" s="24" customFormat="1" ht="17.25" customHeight="1" x14ac:dyDescent="0.25">
      <c r="A93" s="23" t="s">
        <v>647</v>
      </c>
      <c r="B93" s="14">
        <v>1.1000000000000001</v>
      </c>
      <c r="C93" s="23" t="s">
        <v>67</v>
      </c>
      <c r="D93" s="28" t="s">
        <v>1125</v>
      </c>
      <c r="E93" s="24" t="s">
        <v>28</v>
      </c>
      <c r="F93" s="24" t="s">
        <v>28</v>
      </c>
      <c r="G93" s="25">
        <v>0.65</v>
      </c>
      <c r="H93" s="26" t="s">
        <v>695</v>
      </c>
      <c r="I93" s="26">
        <v>1</v>
      </c>
      <c r="J93" s="27">
        <v>3.23</v>
      </c>
      <c r="K93" s="2">
        <f t="shared" si="1"/>
        <v>0.20123839009287928</v>
      </c>
      <c r="L93" s="28" t="s">
        <v>923</v>
      </c>
      <c r="M93" s="23" t="s">
        <v>924</v>
      </c>
      <c r="N93" s="23"/>
      <c r="O93"/>
      <c r="P93"/>
      <c r="Q93"/>
      <c r="R93"/>
      <c r="S93"/>
      <c r="T93"/>
      <c r="U93"/>
      <c r="V93"/>
    </row>
    <row r="94" spans="1:22" s="24" customFormat="1" x14ac:dyDescent="0.25">
      <c r="A94" s="23" t="s">
        <v>647</v>
      </c>
      <c r="B94" s="14">
        <v>1.1000000000000001</v>
      </c>
      <c r="C94" s="23" t="s">
        <v>67</v>
      </c>
      <c r="D94" s="28" t="s">
        <v>925</v>
      </c>
      <c r="E94" s="24" t="s">
        <v>28</v>
      </c>
      <c r="F94" s="24" t="s">
        <v>28</v>
      </c>
      <c r="G94" s="25">
        <v>0.69</v>
      </c>
      <c r="H94" s="26" t="s">
        <v>926</v>
      </c>
      <c r="I94" s="26">
        <v>1</v>
      </c>
      <c r="J94" s="27">
        <v>4.41</v>
      </c>
      <c r="K94" s="2">
        <f t="shared" si="1"/>
        <v>0.15646258503401358</v>
      </c>
      <c r="L94" s="28" t="s">
        <v>685</v>
      </c>
      <c r="M94" s="23" t="s">
        <v>1126</v>
      </c>
      <c r="N94" s="23"/>
      <c r="O94"/>
      <c r="P94"/>
      <c r="Q94"/>
      <c r="R94"/>
      <c r="S94"/>
      <c r="T94"/>
      <c r="U94"/>
      <c r="V94"/>
    </row>
    <row r="95" spans="1:22" s="24" customFormat="1" ht="22.5" x14ac:dyDescent="0.25">
      <c r="A95" s="23" t="s">
        <v>647</v>
      </c>
      <c r="B95" s="14">
        <v>1.1000000000000001</v>
      </c>
      <c r="C95" s="23" t="s">
        <v>67</v>
      </c>
      <c r="D95" s="28" t="s">
        <v>927</v>
      </c>
      <c r="E95" s="24" t="s">
        <v>928</v>
      </c>
      <c r="F95" s="24" t="s">
        <v>28</v>
      </c>
      <c r="G95" s="25">
        <v>2.65</v>
      </c>
      <c r="H95" s="26" t="s">
        <v>929</v>
      </c>
      <c r="I95" s="26">
        <v>1</v>
      </c>
      <c r="J95" s="27">
        <v>5</v>
      </c>
      <c r="K95" s="2">
        <f t="shared" si="1"/>
        <v>0.53</v>
      </c>
      <c r="L95" s="28" t="s">
        <v>930</v>
      </c>
      <c r="M95" s="23" t="s">
        <v>931</v>
      </c>
      <c r="N95" s="23"/>
      <c r="O95"/>
      <c r="P95"/>
      <c r="Q95"/>
      <c r="R95"/>
      <c r="S95"/>
      <c r="T95"/>
      <c r="U95"/>
      <c r="V95"/>
    </row>
    <row r="96" spans="1:22" s="24" customFormat="1" ht="22.5" x14ac:dyDescent="0.25">
      <c r="A96" s="23" t="s">
        <v>647</v>
      </c>
      <c r="B96" s="14">
        <v>1.1000000000000001</v>
      </c>
      <c r="C96" s="23" t="s">
        <v>67</v>
      </c>
      <c r="D96" s="28" t="s">
        <v>932</v>
      </c>
      <c r="E96" s="24" t="s">
        <v>28</v>
      </c>
      <c r="F96" s="24" t="s">
        <v>28</v>
      </c>
      <c r="G96" s="25">
        <v>1.3</v>
      </c>
      <c r="H96" s="26" t="s">
        <v>660</v>
      </c>
      <c r="I96" s="26">
        <v>1</v>
      </c>
      <c r="J96" s="27">
        <v>3</v>
      </c>
      <c r="K96" s="2">
        <f t="shared" si="1"/>
        <v>0.43333333333333335</v>
      </c>
      <c r="L96" s="28" t="s">
        <v>933</v>
      </c>
      <c r="M96" s="23" t="s">
        <v>934</v>
      </c>
      <c r="N96" s="23"/>
      <c r="O96"/>
      <c r="P96"/>
      <c r="Q96"/>
      <c r="R96"/>
      <c r="S96"/>
      <c r="T96"/>
      <c r="U96"/>
      <c r="V96"/>
    </row>
    <row r="97" spans="1:22" s="24" customFormat="1" x14ac:dyDescent="0.25">
      <c r="A97" s="23" t="s">
        <v>647</v>
      </c>
      <c r="B97" s="14">
        <v>1.1000000000000001</v>
      </c>
      <c r="C97" s="23" t="s">
        <v>67</v>
      </c>
      <c r="D97" s="28" t="s">
        <v>720</v>
      </c>
      <c r="E97" s="24" t="s">
        <v>28</v>
      </c>
      <c r="F97" s="24" t="s">
        <v>28</v>
      </c>
      <c r="G97" s="25">
        <v>1</v>
      </c>
      <c r="H97" s="26" t="s">
        <v>650</v>
      </c>
      <c r="I97" s="26">
        <v>1</v>
      </c>
      <c r="J97" s="27">
        <v>10</v>
      </c>
      <c r="K97" s="2">
        <f t="shared" si="1"/>
        <v>0.1</v>
      </c>
      <c r="L97" s="28" t="s">
        <v>935</v>
      </c>
      <c r="M97" s="23" t="s">
        <v>721</v>
      </c>
      <c r="N97" s="23"/>
      <c r="O97"/>
      <c r="P97"/>
      <c r="Q97"/>
      <c r="R97"/>
      <c r="S97"/>
      <c r="T97"/>
      <c r="U97"/>
      <c r="V97"/>
    </row>
    <row r="98" spans="1:22" s="24" customFormat="1" x14ac:dyDescent="0.25">
      <c r="A98" s="23" t="s">
        <v>647</v>
      </c>
      <c r="B98" s="14">
        <v>1.1000000000000001</v>
      </c>
      <c r="C98" s="23" t="s">
        <v>67</v>
      </c>
      <c r="D98" s="28" t="s">
        <v>936</v>
      </c>
      <c r="E98" s="24" t="s">
        <v>28</v>
      </c>
      <c r="F98" s="24" t="s">
        <v>28</v>
      </c>
      <c r="G98" s="25">
        <v>0.8</v>
      </c>
      <c r="H98" s="26" t="s">
        <v>650</v>
      </c>
      <c r="I98" s="26">
        <v>1</v>
      </c>
      <c r="J98" s="27">
        <v>3.33</v>
      </c>
      <c r="K98" s="2">
        <f t="shared" si="1"/>
        <v>0.24024024024024024</v>
      </c>
      <c r="L98" s="28" t="s">
        <v>681</v>
      </c>
      <c r="M98" s="23" t="s">
        <v>937</v>
      </c>
      <c r="N98" s="23"/>
      <c r="O98"/>
      <c r="P98"/>
      <c r="Q98"/>
      <c r="R98"/>
      <c r="S98"/>
      <c r="T98"/>
      <c r="U98"/>
      <c r="V98"/>
    </row>
    <row r="99" spans="1:22" s="24" customFormat="1" ht="19.5" customHeight="1" x14ac:dyDescent="0.25">
      <c r="A99" s="23" t="s">
        <v>647</v>
      </c>
      <c r="B99" s="14">
        <v>1.1000000000000001</v>
      </c>
      <c r="C99" s="23" t="s">
        <v>67</v>
      </c>
      <c r="D99" s="28" t="s">
        <v>686</v>
      </c>
      <c r="E99" s="24" t="s">
        <v>28</v>
      </c>
      <c r="F99" s="24" t="s">
        <v>28</v>
      </c>
      <c r="G99" s="25">
        <v>1.2</v>
      </c>
      <c r="H99" s="26" t="s">
        <v>680</v>
      </c>
      <c r="I99" s="26">
        <v>1</v>
      </c>
      <c r="J99" s="27">
        <v>6</v>
      </c>
      <c r="K99" s="2">
        <f t="shared" si="1"/>
        <v>0.19999999999999998</v>
      </c>
      <c r="L99" s="28" t="s">
        <v>672</v>
      </c>
      <c r="M99" s="23" t="s">
        <v>938</v>
      </c>
      <c r="N99" s="23"/>
      <c r="O99"/>
      <c r="P99"/>
      <c r="Q99"/>
      <c r="R99"/>
      <c r="S99"/>
      <c r="T99"/>
      <c r="U99"/>
      <c r="V99"/>
    </row>
    <row r="100" spans="1:22" s="24" customFormat="1" ht="22.5" x14ac:dyDescent="0.25">
      <c r="A100" s="23" t="s">
        <v>647</v>
      </c>
      <c r="B100" s="14">
        <v>1.1000000000000001</v>
      </c>
      <c r="C100" s="23" t="s">
        <v>67</v>
      </c>
      <c r="D100" s="28" t="s">
        <v>939</v>
      </c>
      <c r="E100" s="24" t="s">
        <v>28</v>
      </c>
      <c r="F100" s="24" t="s">
        <v>28</v>
      </c>
      <c r="G100" s="25">
        <v>3.75</v>
      </c>
      <c r="H100" s="26" t="s">
        <v>725</v>
      </c>
      <c r="I100" s="26">
        <v>1</v>
      </c>
      <c r="J100" s="27">
        <v>6</v>
      </c>
      <c r="K100" s="2">
        <f t="shared" si="1"/>
        <v>0.625</v>
      </c>
      <c r="L100" s="28" t="s">
        <v>672</v>
      </c>
      <c r="M100" s="23" t="s">
        <v>1127</v>
      </c>
      <c r="N100" s="23"/>
      <c r="O100"/>
      <c r="P100"/>
      <c r="Q100"/>
      <c r="R100"/>
      <c r="S100"/>
      <c r="T100"/>
      <c r="U100"/>
      <c r="V100"/>
    </row>
    <row r="101" spans="1:22" s="24" customFormat="1" ht="13.5" customHeight="1" x14ac:dyDescent="0.25">
      <c r="A101" s="23" t="s">
        <v>647</v>
      </c>
      <c r="B101" s="14">
        <v>1.1000000000000001</v>
      </c>
      <c r="C101" s="23" t="s">
        <v>67</v>
      </c>
      <c r="D101" s="28" t="s">
        <v>940</v>
      </c>
      <c r="E101" s="24" t="s">
        <v>28</v>
      </c>
      <c r="F101" s="24" t="s">
        <v>28</v>
      </c>
      <c r="G101" s="25">
        <v>2.25</v>
      </c>
      <c r="H101" s="26" t="s">
        <v>663</v>
      </c>
      <c r="I101" s="26">
        <v>1</v>
      </c>
      <c r="J101" s="27">
        <v>2</v>
      </c>
      <c r="K101" s="2">
        <f t="shared" si="1"/>
        <v>1.125</v>
      </c>
      <c r="L101" s="28" t="s">
        <v>714</v>
      </c>
      <c r="M101" s="23" t="s">
        <v>941</v>
      </c>
      <c r="N101" s="23"/>
      <c r="O101"/>
      <c r="P101"/>
      <c r="Q101"/>
      <c r="R101"/>
      <c r="S101"/>
      <c r="T101"/>
      <c r="U101"/>
      <c r="V101"/>
    </row>
    <row r="102" spans="1:22" s="24" customFormat="1" ht="16.5" customHeight="1" x14ac:dyDescent="0.25">
      <c r="A102" s="23" t="s">
        <v>647</v>
      </c>
      <c r="B102" s="14">
        <v>1.1000000000000001</v>
      </c>
      <c r="C102" s="23" t="s">
        <v>67</v>
      </c>
      <c r="D102" s="28" t="s">
        <v>942</v>
      </c>
      <c r="E102" s="24" t="s">
        <v>28</v>
      </c>
      <c r="F102" s="24" t="s">
        <v>28</v>
      </c>
      <c r="G102" s="25">
        <v>1.8</v>
      </c>
      <c r="H102" s="26" t="s">
        <v>679</v>
      </c>
      <c r="I102" s="26">
        <v>1</v>
      </c>
      <c r="J102" s="27">
        <v>1.67</v>
      </c>
      <c r="K102" s="2">
        <f t="shared" si="1"/>
        <v>1.0778443113772456</v>
      </c>
      <c r="L102" s="28" t="s">
        <v>681</v>
      </c>
      <c r="M102" s="23" t="s">
        <v>943</v>
      </c>
      <c r="N102" s="23"/>
      <c r="O102"/>
      <c r="P102"/>
      <c r="Q102"/>
      <c r="R102"/>
      <c r="S102"/>
      <c r="T102"/>
      <c r="U102"/>
      <c r="V102"/>
    </row>
    <row r="103" spans="1:22" s="34" customFormat="1" ht="17.25" customHeight="1" x14ac:dyDescent="0.25">
      <c r="A103" s="33" t="s">
        <v>647</v>
      </c>
      <c r="B103" s="33">
        <v>1.1000000000000001</v>
      </c>
      <c r="C103" s="23" t="s">
        <v>67</v>
      </c>
      <c r="D103" s="28" t="s">
        <v>704</v>
      </c>
      <c r="E103" s="28"/>
      <c r="F103" s="33" t="s">
        <v>28</v>
      </c>
      <c r="G103" s="2">
        <v>47.88</v>
      </c>
      <c r="H103" s="3"/>
      <c r="I103" s="3">
        <v>1</v>
      </c>
      <c r="J103" s="6">
        <v>52.14</v>
      </c>
      <c r="K103" s="2">
        <f t="shared" si="1"/>
        <v>0.91829689298043737</v>
      </c>
      <c r="L103" s="28"/>
      <c r="M103" s="28" t="s">
        <v>1128</v>
      </c>
      <c r="N103" s="14"/>
      <c r="O103"/>
      <c r="P103"/>
      <c r="Q103"/>
      <c r="R103"/>
      <c r="S103"/>
      <c r="T103"/>
      <c r="U103"/>
      <c r="V103"/>
    </row>
    <row r="104" spans="1:22" s="34" customFormat="1" ht="17.25" customHeight="1" x14ac:dyDescent="0.25">
      <c r="A104" s="33" t="s">
        <v>647</v>
      </c>
      <c r="B104" s="33">
        <v>1.1000000000000001</v>
      </c>
      <c r="C104" s="23" t="s">
        <v>67</v>
      </c>
      <c r="D104" s="28" t="s">
        <v>705</v>
      </c>
      <c r="E104" s="28"/>
      <c r="F104" s="33"/>
      <c r="G104" s="2">
        <v>50</v>
      </c>
      <c r="H104" s="2"/>
      <c r="I104" s="3">
        <v>1</v>
      </c>
      <c r="J104" s="6">
        <v>52.14</v>
      </c>
      <c r="K104" s="2">
        <v>0.96</v>
      </c>
      <c r="L104" s="28"/>
      <c r="M104" s="28" t="s">
        <v>706</v>
      </c>
      <c r="N104" s="14"/>
      <c r="O104"/>
      <c r="P104"/>
      <c r="Q104"/>
      <c r="R104"/>
      <c r="S104"/>
      <c r="T104"/>
      <c r="U104"/>
      <c r="V104"/>
    </row>
    <row r="105" spans="1:22" s="33" customFormat="1" ht="27" customHeight="1" x14ac:dyDescent="0.25">
      <c r="A105" s="28" t="s">
        <v>707</v>
      </c>
      <c r="B105" s="28">
        <v>11.1</v>
      </c>
      <c r="C105" s="28" t="s">
        <v>67</v>
      </c>
      <c r="D105" s="28" t="s">
        <v>708</v>
      </c>
      <c r="E105" s="28"/>
      <c r="F105" s="28"/>
      <c r="G105" s="35">
        <v>30</v>
      </c>
      <c r="H105" s="36"/>
      <c r="I105" s="36">
        <v>2</v>
      </c>
      <c r="J105" s="37">
        <v>1</v>
      </c>
      <c r="K105" s="2">
        <f>(G105*I105)/J105</f>
        <v>60</v>
      </c>
      <c r="L105" s="28"/>
      <c r="M105" s="28" t="s">
        <v>1063</v>
      </c>
      <c r="N105" s="28"/>
      <c r="O105"/>
      <c r="P105"/>
      <c r="Q105"/>
      <c r="R105"/>
      <c r="S105"/>
      <c r="T105"/>
      <c r="U105"/>
      <c r="V105"/>
    </row>
    <row r="106" spans="1:22" s="33" customFormat="1" ht="21.95" customHeight="1" x14ac:dyDescent="0.25">
      <c r="A106" s="28" t="s">
        <v>707</v>
      </c>
      <c r="B106" s="28">
        <v>11.1</v>
      </c>
      <c r="C106" s="28" t="s">
        <v>67</v>
      </c>
      <c r="D106" s="28" t="s">
        <v>709</v>
      </c>
      <c r="E106" s="28"/>
      <c r="F106" s="28"/>
      <c r="G106" s="35">
        <v>15</v>
      </c>
      <c r="H106" s="36"/>
      <c r="I106" s="36">
        <v>2</v>
      </c>
      <c r="J106" s="37">
        <v>1</v>
      </c>
      <c r="K106" s="2">
        <f>(G106*I106)/J106</f>
        <v>30</v>
      </c>
      <c r="L106" s="28"/>
      <c r="M106" s="38" t="s">
        <v>1271</v>
      </c>
      <c r="N106" s="28"/>
      <c r="O106"/>
      <c r="P106"/>
      <c r="Q106"/>
      <c r="R106"/>
      <c r="S106"/>
      <c r="T106"/>
      <c r="U106"/>
      <c r="V106"/>
    </row>
    <row r="107" spans="1:22" s="33" customFormat="1" ht="21.95" customHeight="1" x14ac:dyDescent="0.25">
      <c r="A107" s="28" t="s">
        <v>707</v>
      </c>
      <c r="B107" s="28">
        <v>11.1</v>
      </c>
      <c r="C107" s="28" t="s">
        <v>67</v>
      </c>
      <c r="D107" s="28" t="s">
        <v>1064</v>
      </c>
      <c r="E107" s="28"/>
      <c r="F107" s="28"/>
      <c r="G107" s="35">
        <v>100</v>
      </c>
      <c r="H107" s="36"/>
      <c r="I107" s="36">
        <v>1</v>
      </c>
      <c r="J107" s="37">
        <f>365/84</f>
        <v>4.3452380952380949</v>
      </c>
      <c r="K107" s="2">
        <f>(G107*I107)/J107</f>
        <v>23.013698630136989</v>
      </c>
      <c r="L107" s="28"/>
      <c r="M107" s="38" t="s">
        <v>1065</v>
      </c>
      <c r="N107" s="28"/>
      <c r="O107"/>
      <c r="P107"/>
      <c r="Q107"/>
      <c r="R107"/>
      <c r="S107"/>
      <c r="T107"/>
      <c r="U107"/>
      <c r="V107"/>
    </row>
    <row r="109" spans="1:22" x14ac:dyDescent="0.25">
      <c r="D109" s="14" t="s">
        <v>1001</v>
      </c>
      <c r="E109" s="39">
        <f>SUM(K5:K104)</f>
        <v>100.90158948271333</v>
      </c>
    </row>
    <row r="110" spans="1:22" x14ac:dyDescent="0.25">
      <c r="D110" s="14" t="s">
        <v>1002</v>
      </c>
      <c r="E110" s="39">
        <f>SUM(K105:K107)</f>
        <v>113.01369863013699</v>
      </c>
    </row>
  </sheetData>
  <printOptions gridLines="1"/>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W10"/>
  <sheetViews>
    <sheetView view="pageBreakPreview" zoomScale="114" zoomScaleNormal="100"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3.42578125" style="53" customWidth="1"/>
    <col min="14" max="14" width="17.42578125" customWidth="1"/>
    <col min="15" max="22" width="8.7109375" customWidth="1"/>
  </cols>
  <sheetData>
    <row r="1" spans="1:23" ht="15.75" x14ac:dyDescent="0.25">
      <c r="A1" s="7" t="s">
        <v>1275</v>
      </c>
      <c r="B1" s="40"/>
      <c r="C1" s="33"/>
      <c r="D1" s="33"/>
      <c r="E1" s="33"/>
      <c r="F1" s="33"/>
      <c r="G1" s="33"/>
      <c r="H1" s="33"/>
      <c r="I1" s="33"/>
      <c r="J1" s="33"/>
      <c r="K1" s="33"/>
      <c r="L1" s="28"/>
      <c r="M1" s="28"/>
    </row>
    <row r="2" spans="1:23" x14ac:dyDescent="0.25">
      <c r="A2" s="41" t="s">
        <v>944</v>
      </c>
      <c r="B2" s="41"/>
      <c r="C2" s="19"/>
      <c r="D2" s="42"/>
      <c r="E2" s="42"/>
      <c r="F2" s="42"/>
      <c r="G2" s="42"/>
      <c r="H2" s="42"/>
      <c r="I2" s="42"/>
      <c r="J2" s="42"/>
      <c r="K2" s="42"/>
      <c r="L2" s="42"/>
      <c r="M2" s="43"/>
    </row>
    <row r="3" spans="1:23" x14ac:dyDescent="0.25">
      <c r="A3" s="41" t="s">
        <v>963</v>
      </c>
      <c r="B3" s="41"/>
      <c r="C3" s="42"/>
      <c r="D3" s="42"/>
      <c r="E3" s="42"/>
      <c r="F3" s="42"/>
      <c r="G3" s="42"/>
      <c r="H3" s="42"/>
      <c r="I3" s="42"/>
      <c r="J3" s="44"/>
      <c r="K3" s="42"/>
      <c r="L3" s="42"/>
      <c r="M3" s="42"/>
    </row>
    <row r="4" spans="1:23" ht="22.5" x14ac:dyDescent="0.25">
      <c r="A4" s="17" t="s">
        <v>0</v>
      </c>
      <c r="B4" s="17" t="s">
        <v>1</v>
      </c>
      <c r="C4" s="17" t="s">
        <v>2</v>
      </c>
      <c r="D4" s="17" t="s">
        <v>4</v>
      </c>
      <c r="E4" s="17" t="s">
        <v>5</v>
      </c>
      <c r="F4" s="17" t="s">
        <v>6</v>
      </c>
      <c r="G4" s="18" t="s">
        <v>7</v>
      </c>
      <c r="H4" s="18" t="s">
        <v>8</v>
      </c>
      <c r="I4" s="17" t="s">
        <v>9</v>
      </c>
      <c r="J4" s="19" t="s">
        <v>10</v>
      </c>
      <c r="K4" s="18" t="s">
        <v>46</v>
      </c>
      <c r="L4" s="18" t="s">
        <v>12</v>
      </c>
      <c r="M4" s="17" t="s">
        <v>13</v>
      </c>
    </row>
    <row r="5" spans="1:23" s="24" customFormat="1" ht="61.5" customHeight="1" x14ac:dyDescent="0.25">
      <c r="A5" s="23" t="s">
        <v>945</v>
      </c>
      <c r="B5" s="14">
        <v>2.1</v>
      </c>
      <c r="C5" s="23" t="s">
        <v>67</v>
      </c>
      <c r="D5" s="28" t="s">
        <v>1132</v>
      </c>
      <c r="E5" s="45" t="s">
        <v>1140</v>
      </c>
      <c r="F5" s="46" t="s">
        <v>28</v>
      </c>
      <c r="G5" s="47">
        <v>18.5</v>
      </c>
      <c r="H5" s="46">
        <v>10</v>
      </c>
      <c r="I5" s="46">
        <v>1</v>
      </c>
      <c r="J5" s="48">
        <f>10/3</f>
        <v>3.3333333333333335</v>
      </c>
      <c r="K5" s="48">
        <f>G5*I5/J5</f>
        <v>5.55</v>
      </c>
      <c r="L5" s="45" t="s">
        <v>1133</v>
      </c>
      <c r="M5" s="45" t="s">
        <v>1134</v>
      </c>
      <c r="N5"/>
      <c r="O5"/>
      <c r="P5"/>
      <c r="Q5"/>
      <c r="R5"/>
      <c r="S5"/>
      <c r="T5"/>
      <c r="U5"/>
      <c r="V5"/>
      <c r="W5"/>
    </row>
    <row r="6" spans="1:23" ht="41.25" customHeight="1" x14ac:dyDescent="0.25">
      <c r="A6" s="23" t="s">
        <v>945</v>
      </c>
      <c r="B6" s="14">
        <v>2.1</v>
      </c>
      <c r="C6" s="23" t="s">
        <v>67</v>
      </c>
      <c r="D6" s="28" t="s">
        <v>1135</v>
      </c>
      <c r="E6" s="28"/>
      <c r="F6" s="46" t="s">
        <v>28</v>
      </c>
      <c r="G6" s="47">
        <v>8</v>
      </c>
      <c r="H6" s="46">
        <v>1</v>
      </c>
      <c r="I6" s="46">
        <v>1</v>
      </c>
      <c r="J6" s="48">
        <v>1</v>
      </c>
      <c r="K6" s="48">
        <f>G6*I6/J6</f>
        <v>8</v>
      </c>
      <c r="L6" s="45" t="s">
        <v>1138</v>
      </c>
      <c r="M6" s="45" t="s">
        <v>1136</v>
      </c>
    </row>
    <row r="7" spans="1:23" ht="41.25" customHeight="1" x14ac:dyDescent="0.25">
      <c r="A7" s="23" t="s">
        <v>945</v>
      </c>
      <c r="B7" s="14">
        <v>2.1</v>
      </c>
      <c r="C7" s="23" t="s">
        <v>67</v>
      </c>
      <c r="D7" s="28" t="s">
        <v>1137</v>
      </c>
      <c r="E7" s="49"/>
      <c r="F7" s="49" t="s">
        <v>28</v>
      </c>
      <c r="G7" s="50">
        <v>8</v>
      </c>
      <c r="H7" s="46">
        <v>1</v>
      </c>
      <c r="I7" s="46">
        <v>1</v>
      </c>
      <c r="J7" s="48">
        <v>1</v>
      </c>
      <c r="K7" s="48">
        <f>G7*I7/J7</f>
        <v>8</v>
      </c>
      <c r="L7" s="45" t="s">
        <v>1138</v>
      </c>
      <c r="M7" s="49" t="s">
        <v>1139</v>
      </c>
    </row>
    <row r="8" spans="1:23" x14ac:dyDescent="0.25">
      <c r="A8" s="19"/>
      <c r="B8" s="19"/>
      <c r="C8" s="42"/>
      <c r="D8" s="19"/>
      <c r="E8" s="51"/>
      <c r="F8" s="42"/>
      <c r="G8" s="42"/>
      <c r="H8" s="42"/>
      <c r="I8" s="52"/>
      <c r="J8" s="42"/>
      <c r="K8" s="42"/>
      <c r="L8" s="52"/>
      <c r="M8" s="42"/>
    </row>
    <row r="9" spans="1:23" x14ac:dyDescent="0.25">
      <c r="A9" s="19"/>
      <c r="B9" s="19"/>
      <c r="D9" s="48" t="s">
        <v>1003</v>
      </c>
      <c r="E9" s="19"/>
      <c r="F9" s="52">
        <f>SUM(K5:K7)</f>
        <v>21.55</v>
      </c>
      <c r="G9" s="42"/>
      <c r="H9" s="42"/>
      <c r="I9" s="42"/>
      <c r="J9" s="42"/>
      <c r="K9" s="42"/>
      <c r="L9" s="52"/>
      <c r="M9" s="42"/>
    </row>
    <row r="10" spans="1:23" x14ac:dyDescent="0.25">
      <c r="A10" s="19"/>
      <c r="B10" s="19"/>
      <c r="D10" s="48" t="s">
        <v>1004</v>
      </c>
      <c r="E10" s="51"/>
      <c r="F10" s="52"/>
      <c r="G10" s="42"/>
      <c r="H10" s="42"/>
      <c r="I10" s="42"/>
      <c r="J10" s="42"/>
      <c r="K10" s="42"/>
      <c r="L10" s="52"/>
      <c r="M10" s="42"/>
    </row>
  </sheetData>
  <phoneticPr fontId="23" type="noConversion"/>
  <printOptions gridLines="1"/>
  <pageMargins left="0.7" right="0.7" top="0.75" bottom="0.75" header="0.3" footer="0.3"/>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Y8"/>
  <sheetViews>
    <sheetView view="pageBreakPreview" zoomScaleNormal="115" zoomScaleSheetLayoutView="100" workbookViewId="0"/>
  </sheetViews>
  <sheetFormatPr defaultColWidth="9.140625" defaultRowHeight="15" x14ac:dyDescent="0.25"/>
  <cols>
    <col min="1" max="1" width="5.42578125" style="42" customWidth="1"/>
    <col min="2" max="2" width="7.28515625" style="42" customWidth="1"/>
    <col min="3" max="3" width="6.28515625" style="42" customWidth="1"/>
    <col min="4" max="4" width="14.7109375" style="42" customWidth="1"/>
    <col min="5" max="5" width="19.7109375" style="42" customWidth="1"/>
    <col min="6" max="6" width="11.42578125" style="42" customWidth="1"/>
    <col min="7" max="8" width="7.42578125" style="42" bestFit="1" customWidth="1"/>
    <col min="9" max="10" width="7.7109375" style="42" customWidth="1"/>
    <col min="11" max="11" width="6.42578125" style="42" customWidth="1"/>
    <col min="12" max="13" width="30.42578125" style="42" customWidth="1"/>
    <col min="14" max="14" width="34.42578125" customWidth="1"/>
    <col min="26" max="16384" width="9.140625" style="42"/>
  </cols>
  <sheetData>
    <row r="1" spans="1:25" s="54" customFormat="1" ht="15.75" x14ac:dyDescent="0.25">
      <c r="A1" s="7" t="s">
        <v>1275</v>
      </c>
      <c r="B1" s="41"/>
      <c r="E1" s="42"/>
      <c r="N1"/>
      <c r="O1"/>
      <c r="P1"/>
      <c r="Q1"/>
      <c r="R1"/>
      <c r="S1"/>
      <c r="T1"/>
      <c r="U1"/>
      <c r="V1"/>
      <c r="W1"/>
      <c r="X1"/>
      <c r="Y1"/>
    </row>
    <row r="2" spans="1:25" s="54" customFormat="1" x14ac:dyDescent="0.25">
      <c r="A2" s="41" t="s">
        <v>45</v>
      </c>
      <c r="B2" s="41"/>
      <c r="E2" s="42"/>
      <c r="N2"/>
      <c r="O2"/>
      <c r="P2"/>
      <c r="Q2"/>
      <c r="R2"/>
      <c r="S2"/>
      <c r="T2"/>
      <c r="U2"/>
      <c r="V2"/>
      <c r="W2"/>
      <c r="X2"/>
      <c r="Y2"/>
    </row>
    <row r="3" spans="1:25" s="54" customFormat="1" x14ac:dyDescent="0.25">
      <c r="A3" s="41" t="s">
        <v>963</v>
      </c>
      <c r="B3" s="41"/>
      <c r="E3" s="42"/>
      <c r="N3"/>
      <c r="O3"/>
      <c r="P3"/>
      <c r="Q3"/>
      <c r="R3"/>
      <c r="S3"/>
      <c r="T3"/>
      <c r="U3"/>
      <c r="V3"/>
      <c r="W3"/>
      <c r="X3"/>
      <c r="Y3"/>
    </row>
    <row r="4" spans="1:25" s="55" customFormat="1" ht="33.75" x14ac:dyDescent="0.25">
      <c r="A4" s="55" t="s">
        <v>0</v>
      </c>
      <c r="B4" s="55" t="s">
        <v>1</v>
      </c>
      <c r="C4" s="55" t="s">
        <v>2</v>
      </c>
      <c r="D4" s="55" t="s">
        <v>3</v>
      </c>
      <c r="E4" s="55" t="s">
        <v>4</v>
      </c>
      <c r="F4" s="55" t="s">
        <v>6</v>
      </c>
      <c r="G4" s="56" t="s">
        <v>7</v>
      </c>
      <c r="H4" s="56" t="s">
        <v>8</v>
      </c>
      <c r="I4" s="55" t="s">
        <v>9</v>
      </c>
      <c r="J4" s="55" t="s">
        <v>10</v>
      </c>
      <c r="K4" s="56" t="s">
        <v>46</v>
      </c>
      <c r="L4" s="56" t="s">
        <v>47</v>
      </c>
      <c r="M4" s="56" t="s">
        <v>13</v>
      </c>
      <c r="N4"/>
      <c r="O4"/>
      <c r="P4"/>
      <c r="Q4"/>
      <c r="R4"/>
      <c r="S4"/>
      <c r="T4"/>
      <c r="U4"/>
      <c r="V4"/>
      <c r="W4"/>
      <c r="X4"/>
      <c r="Y4"/>
    </row>
    <row r="5" spans="1:25" s="61" customFormat="1" ht="22.5" x14ac:dyDescent="0.25">
      <c r="A5" s="49" t="s">
        <v>48</v>
      </c>
      <c r="B5" s="49">
        <v>3.1</v>
      </c>
      <c r="C5" s="42" t="s">
        <v>1048</v>
      </c>
      <c r="D5" s="49"/>
      <c r="E5" s="49" t="s">
        <v>1050</v>
      </c>
      <c r="F5" s="57"/>
      <c r="G5" s="50">
        <v>1500</v>
      </c>
      <c r="H5" s="58"/>
      <c r="I5" s="58">
        <v>1</v>
      </c>
      <c r="J5" s="59">
        <f>365/7</f>
        <v>52.142857142857146</v>
      </c>
      <c r="K5" s="50">
        <f>G5*I5/J5</f>
        <v>28.767123287671232</v>
      </c>
      <c r="L5" s="49"/>
      <c r="M5" s="60" t="s">
        <v>1051</v>
      </c>
      <c r="N5"/>
      <c r="O5"/>
      <c r="P5"/>
      <c r="Q5"/>
      <c r="R5"/>
      <c r="S5"/>
      <c r="T5"/>
      <c r="U5"/>
      <c r="V5"/>
      <c r="W5"/>
      <c r="X5"/>
      <c r="Y5"/>
    </row>
    <row r="6" spans="1:25" s="61" customFormat="1" ht="22.5" x14ac:dyDescent="0.25">
      <c r="A6" s="49" t="s">
        <v>48</v>
      </c>
      <c r="B6" s="49">
        <v>3.1</v>
      </c>
      <c r="C6" s="42" t="s">
        <v>1049</v>
      </c>
      <c r="D6" s="49"/>
      <c r="E6" s="49" t="s">
        <v>1050</v>
      </c>
      <c r="F6" s="57"/>
      <c r="G6" s="50">
        <v>1000</v>
      </c>
      <c r="H6" s="58"/>
      <c r="I6" s="58">
        <v>1</v>
      </c>
      <c r="J6" s="59">
        <f>365/7</f>
        <v>52.142857142857146</v>
      </c>
      <c r="K6" s="50">
        <f>G6*I6/J6</f>
        <v>19.17808219178082</v>
      </c>
      <c r="L6" s="49"/>
      <c r="M6" s="49" t="s">
        <v>1052</v>
      </c>
      <c r="N6"/>
      <c r="O6"/>
      <c r="P6"/>
      <c r="Q6"/>
      <c r="R6"/>
      <c r="S6"/>
      <c r="T6"/>
      <c r="U6"/>
      <c r="V6"/>
      <c r="W6"/>
      <c r="X6"/>
      <c r="Y6"/>
    </row>
    <row r="8" spans="1:25" x14ac:dyDescent="0.25">
      <c r="D8" s="24" t="s">
        <v>1005</v>
      </c>
      <c r="E8" s="52">
        <f>SUM(K5:K6)</f>
        <v>47.945205479452056</v>
      </c>
    </row>
  </sheetData>
  <printOptions gridLines="1"/>
  <pageMargins left="0.7" right="0.7" top="0.75" bottom="0.75" header="0.3" footer="0.3"/>
  <pageSetup paperSize="9" scale="7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7"/>
  <sheetViews>
    <sheetView view="pageBreakPreview" zoomScale="115" zoomScaleNormal="115" zoomScaleSheetLayoutView="115" workbookViewId="0"/>
  </sheetViews>
  <sheetFormatPr defaultColWidth="8.7109375" defaultRowHeight="15" x14ac:dyDescent="0.25"/>
  <cols>
    <col min="1" max="3" width="8.7109375" style="23"/>
    <col min="4" max="4" width="12.42578125" style="23" customWidth="1"/>
    <col min="5" max="5" width="18.7109375" style="23" customWidth="1"/>
    <col min="6" max="6" width="7.140625" style="23" customWidth="1"/>
    <col min="7" max="7" width="7" style="23" customWidth="1"/>
    <col min="8" max="8" width="7.42578125" style="23" customWidth="1"/>
    <col min="9" max="9" width="7" style="23" customWidth="1"/>
    <col min="10" max="10" width="24.42578125" style="23" customWidth="1"/>
    <col min="11" max="11" width="45.140625" style="23" customWidth="1"/>
    <col min="27" max="16384" width="8.7109375" style="23"/>
  </cols>
  <sheetData>
    <row r="1" spans="1:26" ht="12" customHeight="1" x14ac:dyDescent="0.25">
      <c r="A1" s="7" t="s">
        <v>1275</v>
      </c>
      <c r="B1" s="62"/>
      <c r="C1" s="63"/>
    </row>
    <row r="2" spans="1:26" ht="12" customHeight="1" x14ac:dyDescent="0.25">
      <c r="A2" s="62" t="s">
        <v>53</v>
      </c>
      <c r="B2" s="62"/>
      <c r="C2" s="63"/>
    </row>
    <row r="3" spans="1:26" ht="12.75" customHeight="1" x14ac:dyDescent="0.25">
      <c r="A3" s="62" t="s">
        <v>963</v>
      </c>
      <c r="B3" s="62"/>
      <c r="C3" s="63"/>
    </row>
    <row r="4" spans="1:26" ht="45" x14ac:dyDescent="0.25">
      <c r="A4" s="64" t="s">
        <v>0</v>
      </c>
      <c r="B4" s="64" t="s">
        <v>1</v>
      </c>
      <c r="C4" s="64" t="s">
        <v>2</v>
      </c>
      <c r="D4" s="55" t="s">
        <v>3</v>
      </c>
      <c r="E4" s="55" t="s">
        <v>4</v>
      </c>
      <c r="F4" s="56" t="s">
        <v>7</v>
      </c>
      <c r="G4" s="55" t="s">
        <v>9</v>
      </c>
      <c r="H4" s="55" t="s">
        <v>10</v>
      </c>
      <c r="I4" s="56" t="s">
        <v>46</v>
      </c>
      <c r="J4" s="56" t="s">
        <v>12</v>
      </c>
      <c r="K4" s="55" t="s">
        <v>13</v>
      </c>
    </row>
    <row r="5" spans="1:26" s="68" customFormat="1" ht="17.100000000000001" customHeight="1" x14ac:dyDescent="0.25">
      <c r="A5" s="65" t="s">
        <v>54</v>
      </c>
      <c r="B5" s="66">
        <v>4.3</v>
      </c>
      <c r="C5" s="24" t="s">
        <v>67</v>
      </c>
      <c r="D5" s="67" t="s">
        <v>55</v>
      </c>
      <c r="E5" s="68" t="s">
        <v>55</v>
      </c>
      <c r="F5" s="69">
        <v>431.94</v>
      </c>
      <c r="G5" s="70">
        <v>1</v>
      </c>
      <c r="H5" s="71">
        <f>365/7</f>
        <v>52.142857142857146</v>
      </c>
      <c r="I5" s="4">
        <f t="shared" ref="I5:I10" si="0">G5*F5/H5</f>
        <v>8.2837808219178068</v>
      </c>
      <c r="J5" s="67"/>
      <c r="K5" s="67" t="s">
        <v>1274</v>
      </c>
      <c r="L5"/>
      <c r="M5"/>
      <c r="N5"/>
      <c r="O5"/>
      <c r="P5"/>
      <c r="Q5"/>
      <c r="R5"/>
      <c r="S5"/>
      <c r="T5"/>
      <c r="U5"/>
      <c r="V5"/>
      <c r="W5"/>
      <c r="X5"/>
      <c r="Y5"/>
      <c r="Z5"/>
    </row>
    <row r="6" spans="1:26" ht="15" customHeight="1" x14ac:dyDescent="0.25">
      <c r="A6" s="65" t="s">
        <v>56</v>
      </c>
      <c r="B6" s="66" t="s">
        <v>57</v>
      </c>
      <c r="C6" s="24" t="s">
        <v>67</v>
      </c>
      <c r="D6" s="67" t="s">
        <v>58</v>
      </c>
      <c r="E6" s="68" t="s">
        <v>58</v>
      </c>
      <c r="F6" s="69">
        <v>1600.83</v>
      </c>
      <c r="G6" s="70">
        <v>1</v>
      </c>
      <c r="H6" s="71">
        <f>365/7</f>
        <v>52.142857142857146</v>
      </c>
      <c r="I6" s="4">
        <f t="shared" si="0"/>
        <v>30.700849315068488</v>
      </c>
      <c r="J6" s="67"/>
      <c r="K6" s="1" t="s">
        <v>1273</v>
      </c>
    </row>
    <row r="7" spans="1:26" ht="24.75" customHeight="1" x14ac:dyDescent="0.25">
      <c r="A7" s="65" t="s">
        <v>59</v>
      </c>
      <c r="B7" s="66">
        <v>12.5</v>
      </c>
      <c r="C7" s="24" t="s">
        <v>67</v>
      </c>
      <c r="D7" s="28" t="s">
        <v>1082</v>
      </c>
      <c r="E7" s="68" t="s">
        <v>60</v>
      </c>
      <c r="F7" s="72">
        <v>18.04</v>
      </c>
      <c r="G7" s="68">
        <v>1</v>
      </c>
      <c r="H7" s="73">
        <f>365/84</f>
        <v>4.3452380952380949</v>
      </c>
      <c r="I7" s="4">
        <f t="shared" si="0"/>
        <v>4.151671232876712</v>
      </c>
      <c r="J7" s="1" t="s">
        <v>1080</v>
      </c>
      <c r="K7" s="67" t="s">
        <v>1081</v>
      </c>
    </row>
    <row r="8" spans="1:26" x14ac:dyDescent="0.25">
      <c r="A8" s="65" t="s">
        <v>61</v>
      </c>
      <c r="B8" s="66">
        <v>4.5</v>
      </c>
      <c r="C8" s="24" t="s">
        <v>67</v>
      </c>
      <c r="D8" s="67" t="s">
        <v>62</v>
      </c>
      <c r="E8" s="68"/>
      <c r="F8" s="72">
        <v>3855.5199467000007</v>
      </c>
      <c r="G8" s="68">
        <v>1</v>
      </c>
      <c r="H8" s="73">
        <f>365/7</f>
        <v>52.142857142857146</v>
      </c>
      <c r="I8" s="4">
        <f t="shared" si="0"/>
        <v>73.941478429863025</v>
      </c>
      <c r="J8" s="67"/>
      <c r="K8" s="67"/>
    </row>
    <row r="9" spans="1:26" ht="60.75" customHeight="1" x14ac:dyDescent="0.25">
      <c r="A9" s="74" t="s">
        <v>63</v>
      </c>
      <c r="B9" s="75">
        <v>4.3</v>
      </c>
      <c r="C9" s="24" t="s">
        <v>67</v>
      </c>
      <c r="D9" s="74" t="s">
        <v>64</v>
      </c>
      <c r="E9" s="76" t="s">
        <v>65</v>
      </c>
      <c r="F9" s="50">
        <v>1400</v>
      </c>
      <c r="G9" s="58">
        <v>1</v>
      </c>
      <c r="H9" s="71">
        <f>365/7</f>
        <v>52.142857142857146</v>
      </c>
      <c r="I9" s="50">
        <f t="shared" si="0"/>
        <v>26.849315068493148</v>
      </c>
      <c r="J9" s="67" t="s">
        <v>1267</v>
      </c>
      <c r="K9" s="68"/>
    </row>
    <row r="10" spans="1:26" ht="102.95" customHeight="1" x14ac:dyDescent="0.25">
      <c r="B10" s="14">
        <v>4.3</v>
      </c>
      <c r="C10" s="77" t="s">
        <v>1152</v>
      </c>
      <c r="D10" s="77" t="s">
        <v>1155</v>
      </c>
      <c r="E10" s="1" t="s">
        <v>1156</v>
      </c>
      <c r="F10" s="23">
        <v>33.21</v>
      </c>
      <c r="G10" s="23">
        <v>1</v>
      </c>
      <c r="H10" s="78">
        <f>365/84</f>
        <v>4.3452380952380949</v>
      </c>
      <c r="I10" s="78">
        <f t="shared" si="0"/>
        <v>7.642849315068494</v>
      </c>
      <c r="J10" s="23" t="s">
        <v>1158</v>
      </c>
      <c r="K10" s="1" t="s">
        <v>1157</v>
      </c>
    </row>
    <row r="11" spans="1:26" x14ac:dyDescent="0.25">
      <c r="E11" s="48" t="s">
        <v>975</v>
      </c>
      <c r="F11" s="48"/>
    </row>
    <row r="12" spans="1:26" x14ac:dyDescent="0.25">
      <c r="E12" s="48" t="s">
        <v>976</v>
      </c>
      <c r="F12" s="46">
        <v>0</v>
      </c>
    </row>
    <row r="13" spans="1:26" x14ac:dyDescent="0.25">
      <c r="E13" s="48" t="s">
        <v>977</v>
      </c>
      <c r="F13" s="48">
        <f>I5</f>
        <v>8.2837808219178068</v>
      </c>
    </row>
    <row r="14" spans="1:26" x14ac:dyDescent="0.25">
      <c r="E14" s="48" t="s">
        <v>978</v>
      </c>
      <c r="F14" s="48">
        <f>I6</f>
        <v>30.700849315068488</v>
      </c>
    </row>
    <row r="15" spans="1:26" x14ac:dyDescent="0.25">
      <c r="E15" s="48" t="s">
        <v>979</v>
      </c>
      <c r="F15" s="48">
        <f>I7</f>
        <v>4.151671232876712</v>
      </c>
    </row>
    <row r="16" spans="1:26" x14ac:dyDescent="0.25">
      <c r="E16" s="48" t="s">
        <v>980</v>
      </c>
      <c r="F16" s="48">
        <f>I8</f>
        <v>73.941478429863025</v>
      </c>
    </row>
    <row r="17" spans="5:6" x14ac:dyDescent="0.25">
      <c r="E17" s="48" t="s">
        <v>981</v>
      </c>
      <c r="F17" s="48">
        <f>I9+I10</f>
        <v>34.492164383561644</v>
      </c>
    </row>
  </sheetData>
  <conditionalFormatting sqref="M180:T180">
    <cfRule type="cellIs" priority="2" operator="equal">
      <formula>0</formula>
    </cfRule>
  </conditionalFormatting>
  <conditionalFormatting sqref="M282:T283">
    <cfRule type="cellIs" dxfId="0" priority="1" operator="equal">
      <formula>0</formula>
    </cfRule>
  </conditionalFormatting>
  <printOptions gridLines="1"/>
  <pageMargins left="0.7" right="0.7" top="0.75" bottom="0.75" header="0.3" footer="0.3"/>
  <pageSetup paperSize="9" scale="75"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535"/>
  <sheetViews>
    <sheetView view="pageBreakPreview" zoomScale="107" zoomScaleNormal="115" zoomScaleSheetLayoutView="117" workbookViewId="0"/>
  </sheetViews>
  <sheetFormatPr defaultColWidth="8.85546875" defaultRowHeight="15" x14ac:dyDescent="0.25"/>
  <cols>
    <col min="1" max="1" width="5.42578125" customWidth="1"/>
    <col min="2" max="2" width="7.42578125" customWidth="1"/>
    <col min="3" max="3" width="6.42578125" customWidth="1"/>
    <col min="4" max="4" width="12.85546875" customWidth="1"/>
    <col min="5" max="5" width="13.140625" customWidth="1"/>
    <col min="6" max="6" width="10.7109375" customWidth="1"/>
    <col min="7" max="7" width="6.42578125" style="107" customWidth="1"/>
    <col min="8" max="8" width="5.42578125" customWidth="1"/>
    <col min="9" max="9" width="8" customWidth="1"/>
    <col min="10" max="10" width="8.28515625" customWidth="1"/>
    <col min="11" max="11" width="6.42578125" customWidth="1"/>
    <col min="12" max="12" width="28.7109375" customWidth="1"/>
    <col min="13" max="13" width="30.7109375" customWidth="1"/>
    <col min="14" max="14" width="19.42578125" customWidth="1"/>
  </cols>
  <sheetData>
    <row r="1" spans="1:23" s="77" customFormat="1" ht="15.75" x14ac:dyDescent="0.25">
      <c r="A1" s="7" t="s">
        <v>1275</v>
      </c>
      <c r="B1" s="40"/>
      <c r="F1" s="1"/>
      <c r="G1" s="33"/>
      <c r="K1" s="79"/>
      <c r="N1"/>
      <c r="O1"/>
      <c r="P1"/>
      <c r="Q1"/>
      <c r="R1"/>
      <c r="S1"/>
      <c r="T1"/>
      <c r="U1"/>
      <c r="V1"/>
      <c r="W1"/>
    </row>
    <row r="2" spans="1:23" s="55" customFormat="1" x14ac:dyDescent="0.25">
      <c r="A2" s="80" t="s">
        <v>68</v>
      </c>
      <c r="B2" s="41"/>
      <c r="C2" s="80"/>
      <c r="G2" s="41"/>
      <c r="K2" s="56"/>
      <c r="N2"/>
      <c r="O2"/>
      <c r="P2"/>
      <c r="Q2"/>
      <c r="R2"/>
      <c r="S2"/>
      <c r="T2"/>
      <c r="U2"/>
      <c r="V2"/>
      <c r="W2"/>
    </row>
    <row r="3" spans="1:23" s="60" customFormat="1" x14ac:dyDescent="0.25">
      <c r="A3" s="80" t="s">
        <v>963</v>
      </c>
      <c r="B3" s="41"/>
      <c r="G3" s="42"/>
      <c r="K3" s="81"/>
      <c r="N3"/>
      <c r="O3"/>
      <c r="P3"/>
      <c r="Q3"/>
      <c r="R3"/>
      <c r="S3"/>
      <c r="T3"/>
      <c r="U3"/>
      <c r="V3"/>
      <c r="W3"/>
    </row>
    <row r="4" spans="1:23" s="42" customFormat="1" ht="22.5" x14ac:dyDescent="0.25">
      <c r="A4" s="17" t="s">
        <v>0</v>
      </c>
      <c r="B4" s="17" t="s">
        <v>1</v>
      </c>
      <c r="C4" s="17" t="s">
        <v>2</v>
      </c>
      <c r="D4" s="19" t="s">
        <v>3</v>
      </c>
      <c r="E4" s="19" t="s">
        <v>4</v>
      </c>
      <c r="F4" s="19" t="s">
        <v>6</v>
      </c>
      <c r="G4" s="51" t="s">
        <v>7</v>
      </c>
      <c r="H4" s="51" t="s">
        <v>8</v>
      </c>
      <c r="I4" s="19" t="s">
        <v>9</v>
      </c>
      <c r="J4" s="19" t="s">
        <v>10</v>
      </c>
      <c r="K4" s="51" t="s">
        <v>11</v>
      </c>
      <c r="L4" s="51" t="s">
        <v>12</v>
      </c>
      <c r="M4" s="19" t="s">
        <v>13</v>
      </c>
      <c r="N4"/>
      <c r="O4"/>
      <c r="P4"/>
      <c r="Q4"/>
      <c r="R4"/>
      <c r="S4"/>
      <c r="T4"/>
      <c r="U4"/>
      <c r="V4"/>
      <c r="W4"/>
    </row>
    <row r="5" spans="1:23" ht="22.5" x14ac:dyDescent="0.25">
      <c r="A5" s="28" t="s">
        <v>69</v>
      </c>
      <c r="B5" s="28">
        <v>4.3</v>
      </c>
      <c r="C5" s="28" t="s">
        <v>67</v>
      </c>
      <c r="D5" s="42" t="s">
        <v>184</v>
      </c>
      <c r="E5" s="49" t="s">
        <v>185</v>
      </c>
      <c r="F5" s="49" t="s">
        <v>83</v>
      </c>
      <c r="G5" s="50">
        <v>5.3780738073807388</v>
      </c>
      <c r="H5" s="57"/>
      <c r="I5" s="58">
        <v>1</v>
      </c>
      <c r="J5" s="59">
        <f>365/7*20</f>
        <v>1042.8571428571429</v>
      </c>
      <c r="K5" s="2">
        <f>G5*I5/J5</f>
        <v>5.1570570755705711E-3</v>
      </c>
      <c r="L5" s="57" t="s">
        <v>186</v>
      </c>
      <c r="M5" s="1" t="s">
        <v>187</v>
      </c>
    </row>
    <row r="6" spans="1:23" ht="22.5" x14ac:dyDescent="0.25">
      <c r="A6" s="28" t="s">
        <v>69</v>
      </c>
      <c r="B6" s="28">
        <v>4.3</v>
      </c>
      <c r="C6" s="28" t="s">
        <v>67</v>
      </c>
      <c r="D6" s="42" t="s">
        <v>184</v>
      </c>
      <c r="E6" s="49" t="s">
        <v>188</v>
      </c>
      <c r="F6" s="49" t="s">
        <v>83</v>
      </c>
      <c r="G6" s="50">
        <v>6.2814221422142227</v>
      </c>
      <c r="H6" s="50"/>
      <c r="I6" s="58">
        <v>1</v>
      </c>
      <c r="J6" s="59">
        <f>365/7*20</f>
        <v>1042.8571428571429</v>
      </c>
      <c r="K6" s="2">
        <f t="shared" ref="K6:K26" si="0">G6*I6/J6</f>
        <v>6.0232815062328162E-3</v>
      </c>
      <c r="L6" s="57" t="s">
        <v>351</v>
      </c>
      <c r="M6" s="49" t="s">
        <v>189</v>
      </c>
    </row>
    <row r="7" spans="1:23" x14ac:dyDescent="0.25">
      <c r="A7" s="28" t="s">
        <v>69</v>
      </c>
      <c r="B7" s="28">
        <v>4.3</v>
      </c>
      <c r="C7" s="28" t="s">
        <v>67</v>
      </c>
      <c r="D7" s="42" t="s">
        <v>184</v>
      </c>
      <c r="E7" s="49" t="s">
        <v>1147</v>
      </c>
      <c r="F7" s="49" t="s">
        <v>74</v>
      </c>
      <c r="G7" s="50">
        <v>59.99</v>
      </c>
      <c r="H7" s="50"/>
      <c r="I7" s="58">
        <v>1</v>
      </c>
      <c r="J7" s="6">
        <f>365/7*10</f>
        <v>521.42857142857144</v>
      </c>
      <c r="K7" s="2">
        <f t="shared" si="0"/>
        <v>0.11504931506849315</v>
      </c>
      <c r="L7" s="57"/>
      <c r="M7" s="49" t="s">
        <v>1148</v>
      </c>
    </row>
    <row r="8" spans="1:23" ht="33.75" x14ac:dyDescent="0.25">
      <c r="A8" s="28" t="s">
        <v>69</v>
      </c>
      <c r="B8" s="28">
        <v>4.3</v>
      </c>
      <c r="C8" s="28" t="s">
        <v>67</v>
      </c>
      <c r="D8" s="42" t="s">
        <v>184</v>
      </c>
      <c r="E8" s="49" t="s">
        <v>1150</v>
      </c>
      <c r="F8" s="49" t="s">
        <v>83</v>
      </c>
      <c r="G8" s="50">
        <v>14.99</v>
      </c>
      <c r="H8" s="50"/>
      <c r="I8" s="58">
        <v>2</v>
      </c>
      <c r="J8" s="6">
        <f>365/7*20</f>
        <v>1042.8571428571429</v>
      </c>
      <c r="K8" s="2">
        <f t="shared" si="0"/>
        <v>2.874794520547945E-2</v>
      </c>
      <c r="L8" s="57" t="s">
        <v>1151</v>
      </c>
      <c r="M8" s="49" t="s">
        <v>1149</v>
      </c>
    </row>
    <row r="9" spans="1:23" ht="33.75" x14ac:dyDescent="0.25">
      <c r="A9" s="33" t="s">
        <v>69</v>
      </c>
      <c r="B9" s="33">
        <v>5.2</v>
      </c>
      <c r="C9" s="28" t="s">
        <v>67</v>
      </c>
      <c r="D9" s="28" t="s">
        <v>70</v>
      </c>
      <c r="E9" s="28" t="s">
        <v>73</v>
      </c>
      <c r="F9" s="28" t="s">
        <v>74</v>
      </c>
      <c r="G9" s="2">
        <v>5.5</v>
      </c>
      <c r="H9" s="3"/>
      <c r="I9" s="82">
        <v>2</v>
      </c>
      <c r="J9" s="6">
        <f>365/7*5</f>
        <v>260.71428571428572</v>
      </c>
      <c r="K9" s="2">
        <f t="shared" si="0"/>
        <v>4.219178082191781E-2</v>
      </c>
      <c r="L9" s="28" t="s">
        <v>1165</v>
      </c>
      <c r="M9" s="83" t="s">
        <v>75</v>
      </c>
    </row>
    <row r="10" spans="1:23" ht="22.5" x14ac:dyDescent="0.25">
      <c r="A10" s="33" t="s">
        <v>69</v>
      </c>
      <c r="B10" s="33">
        <v>5.2</v>
      </c>
      <c r="C10" s="28" t="s">
        <v>67</v>
      </c>
      <c r="D10" s="28" t="s">
        <v>70</v>
      </c>
      <c r="E10" s="28" t="s">
        <v>73</v>
      </c>
      <c r="F10" s="28" t="s">
        <v>74</v>
      </c>
      <c r="G10" s="2">
        <v>6</v>
      </c>
      <c r="H10" s="3"/>
      <c r="I10" s="82">
        <v>2</v>
      </c>
      <c r="J10" s="6">
        <f>365/7*5</f>
        <v>260.71428571428572</v>
      </c>
      <c r="K10" s="2">
        <f t="shared" si="0"/>
        <v>4.6027397260273974E-2</v>
      </c>
      <c r="L10" s="28" t="s">
        <v>1166</v>
      </c>
      <c r="M10" s="83" t="s">
        <v>1164</v>
      </c>
    </row>
    <row r="11" spans="1:23" ht="22.5" x14ac:dyDescent="0.25">
      <c r="A11" s="33" t="s">
        <v>69</v>
      </c>
      <c r="B11" s="33">
        <v>5.0999999999999996</v>
      </c>
      <c r="C11" s="28" t="s">
        <v>67</v>
      </c>
      <c r="D11" s="28" t="s">
        <v>70</v>
      </c>
      <c r="E11" s="28" t="s">
        <v>71</v>
      </c>
      <c r="F11" s="28"/>
      <c r="G11" s="2">
        <v>45</v>
      </c>
      <c r="H11" s="3">
        <v>1</v>
      </c>
      <c r="I11" s="82">
        <v>1</v>
      </c>
      <c r="J11" s="6">
        <f>365/7*10</f>
        <v>521.42857142857144</v>
      </c>
      <c r="K11" s="2">
        <f>G11*I11/J11</f>
        <v>8.6301369863013691E-2</v>
      </c>
      <c r="L11" s="28"/>
      <c r="M11" s="74" t="s">
        <v>1159</v>
      </c>
    </row>
    <row r="12" spans="1:23" ht="22.5" x14ac:dyDescent="0.25">
      <c r="A12" s="33" t="s">
        <v>69</v>
      </c>
      <c r="B12" s="33">
        <v>5.5</v>
      </c>
      <c r="C12" s="28" t="s">
        <v>67</v>
      </c>
      <c r="D12" s="28" t="s">
        <v>70</v>
      </c>
      <c r="E12" s="28" t="s">
        <v>72</v>
      </c>
      <c r="F12" s="28" t="s">
        <v>50</v>
      </c>
      <c r="G12" s="2">
        <v>5</v>
      </c>
      <c r="H12" s="3">
        <v>2</v>
      </c>
      <c r="I12" s="82">
        <v>1</v>
      </c>
      <c r="J12" s="6">
        <f>365/7*5</f>
        <v>260.71428571428572</v>
      </c>
      <c r="K12" s="2">
        <f>G12*I12/J12</f>
        <v>1.9178082191780823E-2</v>
      </c>
      <c r="L12" s="28" t="s">
        <v>1265</v>
      </c>
      <c r="M12" s="84" t="s">
        <v>1160</v>
      </c>
    </row>
    <row r="13" spans="1:23" ht="22.5" x14ac:dyDescent="0.25">
      <c r="A13" s="33" t="s">
        <v>69</v>
      </c>
      <c r="B13" s="33">
        <v>5.0999999999999996</v>
      </c>
      <c r="C13" s="28" t="s">
        <v>67</v>
      </c>
      <c r="D13" s="28" t="s">
        <v>70</v>
      </c>
      <c r="E13" s="28" t="s">
        <v>191</v>
      </c>
      <c r="F13" s="28" t="s">
        <v>74</v>
      </c>
      <c r="G13" s="2">
        <v>80</v>
      </c>
      <c r="H13" s="3">
        <v>1</v>
      </c>
      <c r="I13" s="82">
        <v>1</v>
      </c>
      <c r="J13" s="6">
        <f>365/7*10</f>
        <v>521.42857142857144</v>
      </c>
      <c r="K13" s="2">
        <f>G13*I13/J13</f>
        <v>0.15342465753424658</v>
      </c>
      <c r="L13" s="28"/>
      <c r="M13" s="1" t="s">
        <v>1163</v>
      </c>
    </row>
    <row r="14" spans="1:23" ht="22.5" x14ac:dyDescent="0.25">
      <c r="A14" s="33" t="s">
        <v>69</v>
      </c>
      <c r="B14" s="33">
        <v>5.0999999999999996</v>
      </c>
      <c r="C14" s="28" t="s">
        <v>67</v>
      </c>
      <c r="D14" s="28" t="s">
        <v>70</v>
      </c>
      <c r="E14" s="28" t="s">
        <v>328</v>
      </c>
      <c r="F14" s="28" t="s">
        <v>1169</v>
      </c>
      <c r="G14" s="2">
        <v>60</v>
      </c>
      <c r="H14" s="3">
        <v>1</v>
      </c>
      <c r="I14" s="82">
        <v>1</v>
      </c>
      <c r="J14" s="6">
        <f>365/7*25</f>
        <v>1303.5714285714287</v>
      </c>
      <c r="K14" s="2">
        <f>G14*I14/J14</f>
        <v>4.6027397260273967E-2</v>
      </c>
      <c r="L14" s="28"/>
      <c r="M14" s="1" t="s">
        <v>1167</v>
      </c>
    </row>
    <row r="15" spans="1:23" x14ac:dyDescent="0.25">
      <c r="A15" s="33" t="s">
        <v>69</v>
      </c>
      <c r="B15" s="33">
        <v>5.5</v>
      </c>
      <c r="C15" s="28" t="s">
        <v>67</v>
      </c>
      <c r="D15" s="28" t="s">
        <v>70</v>
      </c>
      <c r="E15" s="28" t="s">
        <v>190</v>
      </c>
      <c r="F15" s="28" t="s">
        <v>352</v>
      </c>
      <c r="G15" s="2">
        <v>15.762942779291555</v>
      </c>
      <c r="H15" s="3">
        <v>6</v>
      </c>
      <c r="I15" s="82">
        <v>1</v>
      </c>
      <c r="J15" s="6">
        <f>365/7*20</f>
        <v>1042.8571428571429</v>
      </c>
      <c r="K15" s="2">
        <f t="shared" si="0"/>
        <v>1.5115150610279572E-2</v>
      </c>
      <c r="L15" s="28"/>
      <c r="M15" s="1" t="s">
        <v>353</v>
      </c>
    </row>
    <row r="16" spans="1:23" ht="22.5" x14ac:dyDescent="0.25">
      <c r="A16" s="33" t="s">
        <v>69</v>
      </c>
      <c r="B16" s="33">
        <v>5.0999999999999996</v>
      </c>
      <c r="C16" s="28" t="s">
        <v>67</v>
      </c>
      <c r="D16" s="28" t="s">
        <v>77</v>
      </c>
      <c r="E16" s="28" t="s">
        <v>71</v>
      </c>
      <c r="F16" s="28"/>
      <c r="G16" s="2">
        <v>45</v>
      </c>
      <c r="H16" s="3">
        <v>1</v>
      </c>
      <c r="I16" s="82">
        <v>1</v>
      </c>
      <c r="J16" s="6">
        <f>365/7*10</f>
        <v>521.42857142857144</v>
      </c>
      <c r="K16" s="2">
        <f>G16*I16/J16</f>
        <v>8.6301369863013691E-2</v>
      </c>
      <c r="L16" s="28"/>
      <c r="M16" s="74" t="s">
        <v>1159</v>
      </c>
    </row>
    <row r="17" spans="1:13" ht="22.5" x14ac:dyDescent="0.25">
      <c r="A17" s="33" t="s">
        <v>69</v>
      </c>
      <c r="B17" s="33">
        <v>5.5</v>
      </c>
      <c r="C17" s="28" t="s">
        <v>67</v>
      </c>
      <c r="D17" s="28" t="s">
        <v>77</v>
      </c>
      <c r="E17" s="28" t="s">
        <v>72</v>
      </c>
      <c r="F17" s="28" t="s">
        <v>50</v>
      </c>
      <c r="G17" s="2">
        <v>5</v>
      </c>
      <c r="H17" s="3">
        <v>1</v>
      </c>
      <c r="I17" s="82">
        <v>1</v>
      </c>
      <c r="J17" s="6">
        <f>365/7*5</f>
        <v>260.71428571428572</v>
      </c>
      <c r="K17" s="2">
        <f>G17*I17/J17</f>
        <v>1.9178082191780823E-2</v>
      </c>
      <c r="L17" s="28" t="s">
        <v>1265</v>
      </c>
      <c r="M17" s="84" t="s">
        <v>1160</v>
      </c>
    </row>
    <row r="18" spans="1:13" x14ac:dyDescent="0.25">
      <c r="A18" s="33" t="s">
        <v>69</v>
      </c>
      <c r="B18" s="33">
        <v>5.2</v>
      </c>
      <c r="C18" s="28" t="s">
        <v>67</v>
      </c>
      <c r="D18" s="28" t="s">
        <v>77</v>
      </c>
      <c r="E18" s="28" t="s">
        <v>78</v>
      </c>
      <c r="F18" s="33"/>
      <c r="G18" s="2">
        <v>150</v>
      </c>
      <c r="H18" s="3">
        <v>1</v>
      </c>
      <c r="I18" s="3">
        <v>1</v>
      </c>
      <c r="J18" s="6">
        <f>365/7*10</f>
        <v>521.42857142857144</v>
      </c>
      <c r="K18" s="2">
        <f t="shared" si="0"/>
        <v>0.28767123287671231</v>
      </c>
      <c r="L18" s="28"/>
      <c r="M18" s="28" t="s">
        <v>1161</v>
      </c>
    </row>
    <row r="19" spans="1:13" ht="22.5" x14ac:dyDescent="0.25">
      <c r="A19" s="33" t="s">
        <v>69</v>
      </c>
      <c r="B19" s="33">
        <v>5.0999999999999996</v>
      </c>
      <c r="C19" s="28" t="s">
        <v>67</v>
      </c>
      <c r="D19" s="28" t="s">
        <v>77</v>
      </c>
      <c r="E19" s="74" t="s">
        <v>1170</v>
      </c>
      <c r="F19" s="4" t="s">
        <v>183</v>
      </c>
      <c r="G19" s="50">
        <v>749</v>
      </c>
      <c r="H19" s="74">
        <v>1</v>
      </c>
      <c r="I19" s="85">
        <v>1</v>
      </c>
      <c r="J19" s="6">
        <f>365/7*10</f>
        <v>521.42857142857144</v>
      </c>
      <c r="K19" s="2">
        <f t="shared" si="0"/>
        <v>1.4364383561643834</v>
      </c>
      <c r="L19" s="60" t="s">
        <v>1171</v>
      </c>
      <c r="M19" s="28" t="s">
        <v>1172</v>
      </c>
    </row>
    <row r="20" spans="1:13" ht="22.5" x14ac:dyDescent="0.25">
      <c r="A20" s="33" t="s">
        <v>69</v>
      </c>
      <c r="B20" s="33">
        <v>5.0999999999999996</v>
      </c>
      <c r="C20" s="28" t="s">
        <v>67</v>
      </c>
      <c r="D20" s="28" t="s">
        <v>354</v>
      </c>
      <c r="E20" s="60" t="s">
        <v>355</v>
      </c>
      <c r="F20" s="81" t="s">
        <v>183</v>
      </c>
      <c r="G20" s="86">
        <v>799</v>
      </c>
      <c r="H20" s="60">
        <v>1</v>
      </c>
      <c r="I20" s="87">
        <v>1</v>
      </c>
      <c r="J20" s="88">
        <f>365/7*10</f>
        <v>521.42857142857144</v>
      </c>
      <c r="K20" s="2">
        <f t="shared" si="0"/>
        <v>1.5323287671232877</v>
      </c>
      <c r="L20" s="60" t="s">
        <v>1171</v>
      </c>
      <c r="M20" s="28" t="s">
        <v>1173</v>
      </c>
    </row>
    <row r="21" spans="1:13" x14ac:dyDescent="0.25">
      <c r="A21" s="33" t="s">
        <v>69</v>
      </c>
      <c r="B21" s="33">
        <v>5.2</v>
      </c>
      <c r="C21" s="28" t="s">
        <v>67</v>
      </c>
      <c r="D21" s="28" t="s">
        <v>77</v>
      </c>
      <c r="E21" s="60" t="s">
        <v>80</v>
      </c>
      <c r="F21" s="81" t="s">
        <v>79</v>
      </c>
      <c r="G21" s="86">
        <v>12</v>
      </c>
      <c r="H21" s="60">
        <v>1</v>
      </c>
      <c r="I21" s="87">
        <v>5</v>
      </c>
      <c r="J21" s="89">
        <f>365/7*2</f>
        <v>104.28571428571429</v>
      </c>
      <c r="K21" s="2">
        <f t="shared" si="0"/>
        <v>0.57534246575342463</v>
      </c>
      <c r="L21" s="74" t="s">
        <v>1174</v>
      </c>
      <c r="M21" s="28" t="s">
        <v>1175</v>
      </c>
    </row>
    <row r="22" spans="1:13" ht="56.25" x14ac:dyDescent="0.25">
      <c r="A22" s="33" t="s">
        <v>69</v>
      </c>
      <c r="B22" s="33">
        <v>5.0999999999999996</v>
      </c>
      <c r="C22" s="28" t="s">
        <v>67</v>
      </c>
      <c r="D22" s="28" t="s">
        <v>77</v>
      </c>
      <c r="E22" s="60" t="s">
        <v>192</v>
      </c>
      <c r="F22" s="81" t="s">
        <v>74</v>
      </c>
      <c r="G22" s="86">
        <v>97.570093457943912</v>
      </c>
      <c r="H22" s="60">
        <v>3</v>
      </c>
      <c r="I22" s="87">
        <v>1</v>
      </c>
      <c r="J22" s="89">
        <f>365/7*20</f>
        <v>1042.8571428571429</v>
      </c>
      <c r="K22" s="2">
        <f t="shared" si="0"/>
        <v>9.3560363589809223E-2</v>
      </c>
      <c r="L22" s="60" t="s">
        <v>193</v>
      </c>
      <c r="M22" s="28" t="s">
        <v>194</v>
      </c>
    </row>
    <row r="23" spans="1:13" ht="45" x14ac:dyDescent="0.25">
      <c r="A23" s="33" t="s">
        <v>69</v>
      </c>
      <c r="B23" s="33">
        <v>5.0999999999999996</v>
      </c>
      <c r="C23" s="28" t="s">
        <v>67</v>
      </c>
      <c r="D23" s="28" t="s">
        <v>77</v>
      </c>
      <c r="E23" s="60" t="s">
        <v>195</v>
      </c>
      <c r="F23" s="81" t="s">
        <v>74</v>
      </c>
      <c r="G23" s="86">
        <v>70.467289719626166</v>
      </c>
      <c r="H23" s="60">
        <v>1</v>
      </c>
      <c r="I23" s="87">
        <v>1</v>
      </c>
      <c r="J23" s="89">
        <f>365/7*20</f>
        <v>1042.8571428571429</v>
      </c>
      <c r="K23" s="2">
        <f t="shared" si="0"/>
        <v>6.7571373703751117E-2</v>
      </c>
      <c r="L23" s="74" t="s">
        <v>356</v>
      </c>
      <c r="M23" s="83" t="s">
        <v>196</v>
      </c>
    </row>
    <row r="24" spans="1:13" ht="45" x14ac:dyDescent="0.25">
      <c r="A24" s="33" t="s">
        <v>69</v>
      </c>
      <c r="B24" s="33">
        <v>5.0999999999999996</v>
      </c>
      <c r="C24" s="28" t="s">
        <v>67</v>
      </c>
      <c r="D24" s="28" t="s">
        <v>77</v>
      </c>
      <c r="E24" s="60" t="s">
        <v>81</v>
      </c>
      <c r="F24" s="81" t="s">
        <v>79</v>
      </c>
      <c r="G24" s="86">
        <v>183.21495327102801</v>
      </c>
      <c r="H24" s="60">
        <v>1</v>
      </c>
      <c r="I24" s="90">
        <v>1</v>
      </c>
      <c r="J24" s="89">
        <f>365/7*20</f>
        <v>1042.8571428571429</v>
      </c>
      <c r="K24" s="2">
        <f t="shared" si="0"/>
        <v>0.17568557162975287</v>
      </c>
      <c r="L24" s="60" t="s">
        <v>357</v>
      </c>
      <c r="M24" s="1" t="s">
        <v>197</v>
      </c>
    </row>
    <row r="25" spans="1:13" x14ac:dyDescent="0.25">
      <c r="A25" s="33" t="s">
        <v>69</v>
      </c>
      <c r="B25" s="33">
        <v>5.0999999999999996</v>
      </c>
      <c r="C25" s="28" t="s">
        <v>67</v>
      </c>
      <c r="D25" s="28" t="s">
        <v>77</v>
      </c>
      <c r="E25" s="60" t="s">
        <v>84</v>
      </c>
      <c r="F25" s="81"/>
      <c r="G25" s="86">
        <v>260</v>
      </c>
      <c r="H25" s="60"/>
      <c r="I25" s="87">
        <v>1</v>
      </c>
      <c r="J25" s="88">
        <f>365/7</f>
        <v>52.142857142857146</v>
      </c>
      <c r="K25" s="2">
        <f t="shared" si="0"/>
        <v>4.9863013698630132</v>
      </c>
      <c r="L25" s="60" t="s">
        <v>1176</v>
      </c>
      <c r="M25" s="60"/>
    </row>
    <row r="26" spans="1:13" x14ac:dyDescent="0.25">
      <c r="A26" s="33" t="s">
        <v>69</v>
      </c>
      <c r="B26" s="33">
        <v>5.0999999999999996</v>
      </c>
      <c r="C26" s="28" t="s">
        <v>67</v>
      </c>
      <c r="D26" s="28" t="s">
        <v>77</v>
      </c>
      <c r="E26" s="60" t="s">
        <v>198</v>
      </c>
      <c r="F26" s="4" t="s">
        <v>1169</v>
      </c>
      <c r="G26" s="50">
        <v>19</v>
      </c>
      <c r="H26" s="74">
        <v>1</v>
      </c>
      <c r="I26" s="85">
        <v>1</v>
      </c>
      <c r="J26" s="59">
        <f>365/7*5</f>
        <v>260.71428571428572</v>
      </c>
      <c r="K26" s="2">
        <f t="shared" si="0"/>
        <v>7.2876712328767121E-2</v>
      </c>
      <c r="L26" s="60" t="s">
        <v>1179</v>
      </c>
      <c r="M26" s="28" t="s">
        <v>1180</v>
      </c>
    </row>
    <row r="27" spans="1:13" x14ac:dyDescent="0.25">
      <c r="A27" s="33" t="s">
        <v>69</v>
      </c>
      <c r="B27" s="33">
        <v>5.0999999999999996</v>
      </c>
      <c r="C27" s="28" t="s">
        <v>67</v>
      </c>
      <c r="D27" s="28" t="s">
        <v>77</v>
      </c>
      <c r="E27" s="60" t="s">
        <v>199</v>
      </c>
      <c r="F27" s="81" t="s">
        <v>1169</v>
      </c>
      <c r="G27" s="86">
        <v>32</v>
      </c>
      <c r="H27" s="60">
        <v>1</v>
      </c>
      <c r="I27" s="87">
        <v>1</v>
      </c>
      <c r="J27" s="89">
        <f>365/7*5</f>
        <v>260.71428571428572</v>
      </c>
      <c r="K27" s="2">
        <f>G27*I27/J27</f>
        <v>0.12273972602739726</v>
      </c>
      <c r="L27" s="60" t="s">
        <v>1178</v>
      </c>
      <c r="M27" s="1" t="s">
        <v>1177</v>
      </c>
    </row>
    <row r="28" spans="1:13" ht="22.5" x14ac:dyDescent="0.25">
      <c r="A28" s="60" t="s">
        <v>69</v>
      </c>
      <c r="B28" s="42">
        <v>5.0999999999999996</v>
      </c>
      <c r="C28" s="28" t="s">
        <v>67</v>
      </c>
      <c r="D28" s="91" t="s">
        <v>85</v>
      </c>
      <c r="E28" s="28" t="s">
        <v>71</v>
      </c>
      <c r="F28" s="28"/>
      <c r="G28" s="2">
        <v>45</v>
      </c>
      <c r="H28" s="3">
        <v>1</v>
      </c>
      <c r="I28" s="82">
        <v>1</v>
      </c>
      <c r="J28" s="6">
        <f>365/7*10</f>
        <v>521.42857142857144</v>
      </c>
      <c r="K28" s="2">
        <f>G28*I28/J28</f>
        <v>8.6301369863013691E-2</v>
      </c>
      <c r="L28" s="28"/>
      <c r="M28" s="74" t="s">
        <v>1159</v>
      </c>
    </row>
    <row r="29" spans="1:13" ht="22.5" x14ac:dyDescent="0.25">
      <c r="A29" s="33" t="s">
        <v>69</v>
      </c>
      <c r="B29" s="33">
        <v>5.5</v>
      </c>
      <c r="C29" s="28" t="s">
        <v>67</v>
      </c>
      <c r="D29" s="91" t="s">
        <v>85</v>
      </c>
      <c r="E29" s="28" t="s">
        <v>72</v>
      </c>
      <c r="F29" s="28" t="s">
        <v>50</v>
      </c>
      <c r="G29" s="2">
        <v>5</v>
      </c>
      <c r="H29" s="3">
        <v>1</v>
      </c>
      <c r="I29" s="82">
        <v>1</v>
      </c>
      <c r="J29" s="6">
        <f>365/7*5</f>
        <v>260.71428571428572</v>
      </c>
      <c r="K29" s="2">
        <f>G29*I29/J29</f>
        <v>1.9178082191780823E-2</v>
      </c>
      <c r="L29" s="28" t="s">
        <v>1265</v>
      </c>
      <c r="M29" s="84" t="s">
        <v>1160</v>
      </c>
    </row>
    <row r="30" spans="1:13" x14ac:dyDescent="0.25">
      <c r="A30" s="60" t="s">
        <v>69</v>
      </c>
      <c r="B30" s="42">
        <v>5.2</v>
      </c>
      <c r="C30" s="28" t="s">
        <v>67</v>
      </c>
      <c r="D30" s="91" t="s">
        <v>85</v>
      </c>
      <c r="E30" s="28" t="s">
        <v>78</v>
      </c>
      <c r="F30" s="33"/>
      <c r="G30" s="2">
        <v>150</v>
      </c>
      <c r="H30" s="3">
        <v>1</v>
      </c>
      <c r="I30" s="3">
        <v>1</v>
      </c>
      <c r="J30" s="6">
        <f>365/7*10</f>
        <v>521.42857142857144</v>
      </c>
      <c r="K30" s="2">
        <f t="shared" ref="K30" si="1">G30*I30/J30</f>
        <v>0.28767123287671231</v>
      </c>
      <c r="L30" s="28"/>
      <c r="M30" s="28" t="s">
        <v>1161</v>
      </c>
    </row>
    <row r="31" spans="1:13" ht="22.5" x14ac:dyDescent="0.25">
      <c r="A31" s="60" t="s">
        <v>69</v>
      </c>
      <c r="B31" s="42">
        <v>5.0999999999999996</v>
      </c>
      <c r="C31" s="28" t="s">
        <v>67</v>
      </c>
      <c r="D31" s="60" t="s">
        <v>85</v>
      </c>
      <c r="E31" s="74" t="s">
        <v>200</v>
      </c>
      <c r="F31" s="74" t="s">
        <v>1169</v>
      </c>
      <c r="G31" s="4">
        <v>749</v>
      </c>
      <c r="H31" s="74">
        <v>1</v>
      </c>
      <c r="I31" s="74">
        <v>1</v>
      </c>
      <c r="J31" s="59">
        <f>365/7*10</f>
        <v>521.42857142857144</v>
      </c>
      <c r="K31" s="2">
        <f t="shared" ref="K31:K78" si="2">G31*I31/J31</f>
        <v>1.4364383561643834</v>
      </c>
      <c r="L31" s="60" t="s">
        <v>1181</v>
      </c>
      <c r="M31" s="74" t="s">
        <v>1182</v>
      </c>
    </row>
    <row r="32" spans="1:13" x14ac:dyDescent="0.25">
      <c r="A32" s="33" t="s">
        <v>69</v>
      </c>
      <c r="B32" s="33">
        <v>5.0999999999999996</v>
      </c>
      <c r="C32" s="28" t="s">
        <v>67</v>
      </c>
      <c r="D32" s="60" t="s">
        <v>85</v>
      </c>
      <c r="E32" s="60" t="s">
        <v>86</v>
      </c>
      <c r="F32" s="60" t="s">
        <v>79</v>
      </c>
      <c r="G32" s="81">
        <v>20</v>
      </c>
      <c r="H32" s="60">
        <v>4</v>
      </c>
      <c r="I32" s="90">
        <v>2</v>
      </c>
      <c r="J32" s="88">
        <f>365/7*25</f>
        <v>1303.5714285714287</v>
      </c>
      <c r="K32" s="2">
        <f t="shared" si="2"/>
        <v>3.0684931506849311E-2</v>
      </c>
      <c r="L32" s="60" t="s">
        <v>1183</v>
      </c>
      <c r="M32" s="74" t="s">
        <v>1184</v>
      </c>
    </row>
    <row r="33" spans="1:13" x14ac:dyDescent="0.25">
      <c r="A33" s="60" t="s">
        <v>69</v>
      </c>
      <c r="B33" s="42">
        <v>5.0999999999999996</v>
      </c>
      <c r="C33" s="28" t="s">
        <v>67</v>
      </c>
      <c r="D33" s="60" t="s">
        <v>85</v>
      </c>
      <c r="E33" s="60" t="s">
        <v>87</v>
      </c>
      <c r="F33" s="60" t="s">
        <v>79</v>
      </c>
      <c r="G33" s="81">
        <v>6</v>
      </c>
      <c r="H33" s="60">
        <v>4</v>
      </c>
      <c r="I33" s="90">
        <v>2</v>
      </c>
      <c r="J33" s="88">
        <f>365/7*25</f>
        <v>1303.5714285714287</v>
      </c>
      <c r="K33" s="2">
        <f t="shared" si="2"/>
        <v>9.2054794520547937E-3</v>
      </c>
      <c r="L33" s="60" t="s">
        <v>1185</v>
      </c>
      <c r="M33" s="1" t="s">
        <v>1186</v>
      </c>
    </row>
    <row r="34" spans="1:13" ht="22.5" x14ac:dyDescent="0.25">
      <c r="A34" s="33" t="s">
        <v>69</v>
      </c>
      <c r="B34" s="33">
        <v>5.5</v>
      </c>
      <c r="C34" s="28" t="s">
        <v>67</v>
      </c>
      <c r="D34" s="91" t="s">
        <v>88</v>
      </c>
      <c r="E34" s="28" t="s">
        <v>72</v>
      </c>
      <c r="F34" s="28" t="s">
        <v>50</v>
      </c>
      <c r="G34" s="2">
        <v>5</v>
      </c>
      <c r="H34" s="3">
        <v>1</v>
      </c>
      <c r="I34" s="82">
        <v>1</v>
      </c>
      <c r="J34" s="6">
        <f>365/7*5</f>
        <v>260.71428571428572</v>
      </c>
      <c r="K34" s="2">
        <f>G34*I34/J34</f>
        <v>1.9178082191780823E-2</v>
      </c>
      <c r="L34" s="28" t="s">
        <v>1265</v>
      </c>
      <c r="M34" s="84" t="s">
        <v>1160</v>
      </c>
    </row>
    <row r="35" spans="1:13" ht="22.5" x14ac:dyDescent="0.25">
      <c r="A35" s="33" t="s">
        <v>69</v>
      </c>
      <c r="B35" s="33">
        <v>5.0999999999999996</v>
      </c>
      <c r="C35" s="28" t="s">
        <v>67</v>
      </c>
      <c r="D35" s="91" t="s">
        <v>88</v>
      </c>
      <c r="E35" s="28" t="s">
        <v>1145</v>
      </c>
      <c r="F35" s="28"/>
      <c r="G35" s="2">
        <v>0</v>
      </c>
      <c r="H35" s="3"/>
      <c r="I35" s="82"/>
      <c r="J35" s="6"/>
      <c r="K35" s="2">
        <v>0</v>
      </c>
      <c r="L35" s="28" t="s">
        <v>1252</v>
      </c>
      <c r="M35" s="84"/>
    </row>
    <row r="36" spans="1:13" ht="33.75" x14ac:dyDescent="0.25">
      <c r="A36" s="60" t="s">
        <v>69</v>
      </c>
      <c r="B36" s="42">
        <v>5.0999999999999996</v>
      </c>
      <c r="C36" s="28" t="s">
        <v>67</v>
      </c>
      <c r="D36" s="91" t="s">
        <v>88</v>
      </c>
      <c r="E36" s="28" t="s">
        <v>89</v>
      </c>
      <c r="F36" s="28" t="s">
        <v>74</v>
      </c>
      <c r="G36" s="86">
        <v>15.177570093457943</v>
      </c>
      <c r="H36" s="3">
        <v>1</v>
      </c>
      <c r="I36" s="3">
        <v>1</v>
      </c>
      <c r="J36" s="6">
        <f>365/7*5</f>
        <v>260.71428571428572</v>
      </c>
      <c r="K36" s="2">
        <f t="shared" si="2"/>
        <v>5.8215337344770191E-2</v>
      </c>
      <c r="L36" s="28" t="s">
        <v>201</v>
      </c>
      <c r="M36" s="28" t="s">
        <v>90</v>
      </c>
    </row>
    <row r="37" spans="1:13" ht="56.25" x14ac:dyDescent="0.25">
      <c r="A37" s="33" t="s">
        <v>69</v>
      </c>
      <c r="B37" s="33">
        <v>5.4</v>
      </c>
      <c r="C37" s="28" t="s">
        <v>67</v>
      </c>
      <c r="D37" s="60" t="s">
        <v>91</v>
      </c>
      <c r="E37" s="60" t="s">
        <v>92</v>
      </c>
      <c r="F37" s="4" t="s">
        <v>50</v>
      </c>
      <c r="G37" s="4">
        <v>10.275482093663912</v>
      </c>
      <c r="H37" s="74">
        <v>12</v>
      </c>
      <c r="I37" s="92">
        <v>2</v>
      </c>
      <c r="J37" s="93">
        <f>365/7*5</f>
        <v>260.71428571428572</v>
      </c>
      <c r="K37" s="2">
        <f t="shared" si="2"/>
        <v>7.8825616060983442E-2</v>
      </c>
      <c r="L37" s="60" t="s">
        <v>358</v>
      </c>
      <c r="M37" s="28" t="s">
        <v>202</v>
      </c>
    </row>
    <row r="38" spans="1:13" ht="33.75" x14ac:dyDescent="0.25">
      <c r="A38" s="33" t="s">
        <v>69</v>
      </c>
      <c r="B38" s="33">
        <v>5.4</v>
      </c>
      <c r="C38" s="28" t="s">
        <v>67</v>
      </c>
      <c r="D38" s="60" t="s">
        <v>91</v>
      </c>
      <c r="E38" s="60" t="s">
        <v>93</v>
      </c>
      <c r="F38" s="4" t="s">
        <v>50</v>
      </c>
      <c r="G38" s="4">
        <v>5.1377410468319562</v>
      </c>
      <c r="H38" s="74">
        <v>4</v>
      </c>
      <c r="I38" s="92">
        <v>2</v>
      </c>
      <c r="J38" s="93">
        <f>365/7*5</f>
        <v>260.71428571428572</v>
      </c>
      <c r="K38" s="2">
        <f t="shared" si="2"/>
        <v>3.9412808030491721E-2</v>
      </c>
      <c r="L38" s="60" t="s">
        <v>359</v>
      </c>
      <c r="M38" s="74" t="s">
        <v>203</v>
      </c>
    </row>
    <row r="39" spans="1:13" ht="22.5" x14ac:dyDescent="0.25">
      <c r="A39" s="33" t="s">
        <v>69</v>
      </c>
      <c r="B39" s="33">
        <v>5.4</v>
      </c>
      <c r="C39" s="28" t="s">
        <v>67</v>
      </c>
      <c r="D39" s="60" t="s">
        <v>91</v>
      </c>
      <c r="E39" s="60" t="s">
        <v>94</v>
      </c>
      <c r="F39" s="4" t="s">
        <v>1187</v>
      </c>
      <c r="G39" s="4">
        <v>38</v>
      </c>
      <c r="H39" s="74">
        <v>32</v>
      </c>
      <c r="I39" s="92">
        <v>1</v>
      </c>
      <c r="J39" s="93">
        <f>25*(365/7)</f>
        <v>1303.5714285714287</v>
      </c>
      <c r="K39" s="2">
        <f t="shared" si="2"/>
        <v>2.9150684931506847E-2</v>
      </c>
      <c r="L39" s="60" t="s">
        <v>1188</v>
      </c>
      <c r="M39" s="1" t="s">
        <v>1189</v>
      </c>
    </row>
    <row r="40" spans="1:13" ht="33.75" x14ac:dyDescent="0.25">
      <c r="A40" s="33" t="s">
        <v>69</v>
      </c>
      <c r="B40" s="33">
        <v>5.4</v>
      </c>
      <c r="C40" s="28" t="s">
        <v>67</v>
      </c>
      <c r="D40" s="74" t="s">
        <v>91</v>
      </c>
      <c r="E40" s="74" t="s">
        <v>95</v>
      </c>
      <c r="F40" s="4" t="s">
        <v>21</v>
      </c>
      <c r="G40" s="4">
        <v>2.5688705234159781</v>
      </c>
      <c r="H40" s="74">
        <v>2</v>
      </c>
      <c r="I40" s="92">
        <v>1</v>
      </c>
      <c r="J40" s="59">
        <f>365/7*20</f>
        <v>1042.8571428571429</v>
      </c>
      <c r="K40" s="2">
        <f t="shared" si="2"/>
        <v>2.4633005019057326E-3</v>
      </c>
      <c r="L40" s="74" t="s">
        <v>204</v>
      </c>
      <c r="M40" s="74" t="s">
        <v>205</v>
      </c>
    </row>
    <row r="41" spans="1:13" ht="22.5" x14ac:dyDescent="0.25">
      <c r="A41" s="33" t="s">
        <v>69</v>
      </c>
      <c r="B41" s="33">
        <v>5.4</v>
      </c>
      <c r="C41" s="28" t="s">
        <v>67</v>
      </c>
      <c r="D41" s="60" t="s">
        <v>91</v>
      </c>
      <c r="E41" s="74" t="s">
        <v>206</v>
      </c>
      <c r="F41" s="4" t="s">
        <v>1169</v>
      </c>
      <c r="G41" s="50">
        <v>2</v>
      </c>
      <c r="H41" s="74">
        <v>1</v>
      </c>
      <c r="I41" s="85">
        <v>8</v>
      </c>
      <c r="J41" s="93">
        <f>365/7*2</f>
        <v>104.28571428571429</v>
      </c>
      <c r="K41" s="2">
        <f t="shared" si="2"/>
        <v>0.15342465753424656</v>
      </c>
      <c r="L41" s="60" t="s">
        <v>1190</v>
      </c>
      <c r="M41" s="46" t="s">
        <v>1193</v>
      </c>
    </row>
    <row r="42" spans="1:13" ht="22.5" x14ac:dyDescent="0.25">
      <c r="A42" s="33" t="s">
        <v>69</v>
      </c>
      <c r="B42" s="33">
        <v>5.4</v>
      </c>
      <c r="C42" s="28" t="s">
        <v>67</v>
      </c>
      <c r="D42" s="60" t="s">
        <v>91</v>
      </c>
      <c r="E42" s="74" t="s">
        <v>97</v>
      </c>
      <c r="F42" s="4" t="s">
        <v>1169</v>
      </c>
      <c r="G42" s="50">
        <v>2.5</v>
      </c>
      <c r="H42" s="74">
        <v>1</v>
      </c>
      <c r="I42" s="85">
        <v>8</v>
      </c>
      <c r="J42" s="93">
        <f>365/7*2</f>
        <v>104.28571428571429</v>
      </c>
      <c r="K42" s="2">
        <f t="shared" si="2"/>
        <v>0.19178082191780821</v>
      </c>
      <c r="L42" s="60" t="s">
        <v>1191</v>
      </c>
      <c r="M42" s="28" t="s">
        <v>1192</v>
      </c>
    </row>
    <row r="43" spans="1:13" ht="33.75" x14ac:dyDescent="0.25">
      <c r="A43" s="33" t="s">
        <v>69</v>
      </c>
      <c r="B43" s="33">
        <v>5.4</v>
      </c>
      <c r="C43" s="28" t="s">
        <v>67</v>
      </c>
      <c r="D43" s="60" t="s">
        <v>91</v>
      </c>
      <c r="E43" s="74" t="s">
        <v>207</v>
      </c>
      <c r="F43" s="74" t="s">
        <v>27</v>
      </c>
      <c r="G43" s="4">
        <v>4.6239669421487601</v>
      </c>
      <c r="H43" s="74">
        <v>2</v>
      </c>
      <c r="I43" s="92">
        <v>1</v>
      </c>
      <c r="J43" s="6">
        <f>365/7*20</f>
        <v>1042.8571428571429</v>
      </c>
      <c r="K43" s="2">
        <f t="shared" si="2"/>
        <v>4.4339409034303175E-3</v>
      </c>
      <c r="L43" s="60" t="s">
        <v>360</v>
      </c>
      <c r="M43" s="33" t="s">
        <v>98</v>
      </c>
    </row>
    <row r="44" spans="1:13" ht="33.75" x14ac:dyDescent="0.25">
      <c r="A44" s="60" t="s">
        <v>69</v>
      </c>
      <c r="B44" s="42">
        <v>5.4</v>
      </c>
      <c r="C44" s="28" t="s">
        <v>67</v>
      </c>
      <c r="D44" s="60" t="s">
        <v>85</v>
      </c>
      <c r="E44" s="74" t="s">
        <v>208</v>
      </c>
      <c r="F44" s="4" t="s">
        <v>21</v>
      </c>
      <c r="G44" s="4">
        <v>3.5964187327823693</v>
      </c>
      <c r="H44" s="74">
        <v>1</v>
      </c>
      <c r="I44" s="92">
        <v>1</v>
      </c>
      <c r="J44" s="59">
        <f>365/7*20</f>
        <v>1042.8571428571429</v>
      </c>
      <c r="K44" s="2">
        <f t="shared" si="2"/>
        <v>3.4486207026680252E-3</v>
      </c>
      <c r="L44" s="74" t="s">
        <v>361</v>
      </c>
      <c r="M44" s="74" t="s">
        <v>209</v>
      </c>
    </row>
    <row r="45" spans="1:13" ht="22.5" x14ac:dyDescent="0.25">
      <c r="A45" s="60" t="s">
        <v>69</v>
      </c>
      <c r="B45" s="42">
        <v>5.6</v>
      </c>
      <c r="C45" s="28" t="s">
        <v>67</v>
      </c>
      <c r="D45" s="60" t="s">
        <v>85</v>
      </c>
      <c r="E45" s="74" t="s">
        <v>210</v>
      </c>
      <c r="F45" s="4" t="s">
        <v>28</v>
      </c>
      <c r="G45" s="4">
        <v>1.1294326241134753</v>
      </c>
      <c r="H45" s="74">
        <v>50</v>
      </c>
      <c r="I45" s="92">
        <v>2</v>
      </c>
      <c r="J45" s="59">
        <f>365/7</f>
        <v>52.142857142857146</v>
      </c>
      <c r="K45" s="2">
        <f t="shared" si="2"/>
        <v>4.3320703390653845E-2</v>
      </c>
      <c r="L45" s="60" t="s">
        <v>362</v>
      </c>
      <c r="M45" s="94" t="s">
        <v>211</v>
      </c>
    </row>
    <row r="46" spans="1:13" ht="22.5" x14ac:dyDescent="0.25">
      <c r="A46" s="33" t="s">
        <v>69</v>
      </c>
      <c r="B46" s="33">
        <v>5.3</v>
      </c>
      <c r="C46" s="28" t="s">
        <v>67</v>
      </c>
      <c r="D46" s="60" t="s">
        <v>99</v>
      </c>
      <c r="E46" s="74" t="s">
        <v>100</v>
      </c>
      <c r="F46" s="4" t="s">
        <v>50</v>
      </c>
      <c r="G46" s="50">
        <v>70</v>
      </c>
      <c r="H46" s="85">
        <v>1</v>
      </c>
      <c r="I46" s="3">
        <v>1</v>
      </c>
      <c r="J46" s="59">
        <f>365/7*5</f>
        <v>260.71428571428572</v>
      </c>
      <c r="K46" s="2">
        <f t="shared" si="2"/>
        <v>0.26849315068493151</v>
      </c>
      <c r="L46" s="60" t="s">
        <v>1195</v>
      </c>
      <c r="M46" s="28" t="s">
        <v>1194</v>
      </c>
    </row>
    <row r="47" spans="1:13" ht="22.5" x14ac:dyDescent="0.25">
      <c r="A47" s="33" t="s">
        <v>69</v>
      </c>
      <c r="B47" s="33">
        <v>5.3</v>
      </c>
      <c r="C47" s="28" t="s">
        <v>67</v>
      </c>
      <c r="D47" s="60" t="s">
        <v>99</v>
      </c>
      <c r="E47" s="60" t="s">
        <v>101</v>
      </c>
      <c r="F47" s="81" t="s">
        <v>212</v>
      </c>
      <c r="G47" s="50">
        <v>378.06721991701244</v>
      </c>
      <c r="H47" s="60">
        <v>1</v>
      </c>
      <c r="I47" s="89">
        <v>1</v>
      </c>
      <c r="J47" s="89">
        <f>365/7*10</f>
        <v>521.42857142857144</v>
      </c>
      <c r="K47" s="2">
        <f t="shared" si="2"/>
        <v>0.72506042175865393</v>
      </c>
      <c r="L47" s="60" t="s">
        <v>363</v>
      </c>
      <c r="M47" s="28" t="s">
        <v>213</v>
      </c>
    </row>
    <row r="48" spans="1:13" ht="101.25" x14ac:dyDescent="0.25">
      <c r="A48" s="95" t="s">
        <v>69</v>
      </c>
      <c r="B48" s="95">
        <v>5.3</v>
      </c>
      <c r="C48" s="28" t="s">
        <v>67</v>
      </c>
      <c r="D48" s="42" t="s">
        <v>99</v>
      </c>
      <c r="E48" s="42" t="s">
        <v>102</v>
      </c>
      <c r="F48" s="81" t="s">
        <v>212</v>
      </c>
      <c r="G48" s="50">
        <v>209.56929460580915</v>
      </c>
      <c r="H48" s="60">
        <v>1</v>
      </c>
      <c r="I48" s="89">
        <v>1</v>
      </c>
      <c r="J48" s="89">
        <f>365/7*10</f>
        <v>521.42857142857144</v>
      </c>
      <c r="K48" s="2">
        <f t="shared" si="2"/>
        <v>0.40191371568237372</v>
      </c>
      <c r="L48" s="49" t="s">
        <v>364</v>
      </c>
      <c r="M48" s="28" t="s">
        <v>214</v>
      </c>
    </row>
    <row r="49" spans="1:13" ht="22.5" x14ac:dyDescent="0.25">
      <c r="A49" s="33" t="s">
        <v>69</v>
      </c>
      <c r="B49" s="33">
        <v>5.3</v>
      </c>
      <c r="C49" s="28" t="s">
        <v>67</v>
      </c>
      <c r="D49" s="60" t="s">
        <v>99</v>
      </c>
      <c r="E49" s="60" t="s">
        <v>103</v>
      </c>
      <c r="F49" s="81" t="s">
        <v>215</v>
      </c>
      <c r="G49" s="50">
        <v>249</v>
      </c>
      <c r="H49" s="60">
        <v>1</v>
      </c>
      <c r="I49" s="89">
        <v>1</v>
      </c>
      <c r="J49" s="89">
        <f>365/7*8</f>
        <v>417.14285714285717</v>
      </c>
      <c r="K49" s="2">
        <f t="shared" si="2"/>
        <v>0.59691780821917806</v>
      </c>
      <c r="L49" s="60" t="s">
        <v>1200</v>
      </c>
      <c r="M49" s="28" t="s">
        <v>1199</v>
      </c>
    </row>
    <row r="50" spans="1:13" ht="22.5" x14ac:dyDescent="0.25">
      <c r="A50" s="33" t="s">
        <v>69</v>
      </c>
      <c r="B50" s="33">
        <v>5.3</v>
      </c>
      <c r="C50" s="28" t="s">
        <v>67</v>
      </c>
      <c r="D50" s="60" t="s">
        <v>99</v>
      </c>
      <c r="E50" s="60" t="s">
        <v>1197</v>
      </c>
      <c r="F50" s="81" t="s">
        <v>215</v>
      </c>
      <c r="G50" s="50">
        <v>250</v>
      </c>
      <c r="H50" s="60">
        <v>1</v>
      </c>
      <c r="I50" s="89">
        <v>1</v>
      </c>
      <c r="J50" s="89">
        <f>365/7*15</f>
        <v>782.14285714285722</v>
      </c>
      <c r="K50" s="2">
        <f t="shared" si="2"/>
        <v>0.31963470319634701</v>
      </c>
      <c r="L50" s="60" t="s">
        <v>1198</v>
      </c>
      <c r="M50" s="28" t="s">
        <v>1196</v>
      </c>
    </row>
    <row r="51" spans="1:13" ht="22.5" x14ac:dyDescent="0.25">
      <c r="A51" s="33" t="s">
        <v>1168</v>
      </c>
      <c r="B51" s="33">
        <v>5.3</v>
      </c>
      <c r="C51" s="28" t="s">
        <v>67</v>
      </c>
      <c r="D51" s="60" t="s">
        <v>99</v>
      </c>
      <c r="E51" s="60" t="s">
        <v>1201</v>
      </c>
      <c r="F51" s="81" t="s">
        <v>215</v>
      </c>
      <c r="G51" s="50">
        <v>388</v>
      </c>
      <c r="H51" s="60">
        <v>1</v>
      </c>
      <c r="I51" s="89">
        <v>1</v>
      </c>
      <c r="J51" s="89">
        <f>365/7*15</f>
        <v>782.14285714285722</v>
      </c>
      <c r="K51" s="2">
        <f t="shared" si="2"/>
        <v>0.49607305936073054</v>
      </c>
      <c r="L51" s="60" t="s">
        <v>1202</v>
      </c>
      <c r="M51" s="28" t="s">
        <v>1203</v>
      </c>
    </row>
    <row r="52" spans="1:13" ht="22.5" x14ac:dyDescent="0.25">
      <c r="A52" s="33" t="s">
        <v>69</v>
      </c>
      <c r="B52" s="33">
        <v>5.3</v>
      </c>
      <c r="C52" s="28" t="s">
        <v>67</v>
      </c>
      <c r="D52" s="60" t="s">
        <v>99</v>
      </c>
      <c r="E52" s="60" t="s">
        <v>104</v>
      </c>
      <c r="F52" s="81" t="s">
        <v>50</v>
      </c>
      <c r="G52" s="86">
        <v>18</v>
      </c>
      <c r="H52" s="60">
        <v>1</v>
      </c>
      <c r="I52" s="89">
        <v>1</v>
      </c>
      <c r="J52" s="89">
        <f>365/7*6</f>
        <v>312.85714285714289</v>
      </c>
      <c r="K52" s="2">
        <f t="shared" si="2"/>
        <v>5.7534246575342458E-2</v>
      </c>
      <c r="L52" s="60" t="s">
        <v>365</v>
      </c>
      <c r="M52" s="1" t="s">
        <v>216</v>
      </c>
    </row>
    <row r="53" spans="1:13" ht="22.5" x14ac:dyDescent="0.25">
      <c r="A53" s="33" t="s">
        <v>69</v>
      </c>
      <c r="B53" s="33">
        <v>5.3</v>
      </c>
      <c r="C53" s="28" t="s">
        <v>67</v>
      </c>
      <c r="D53" s="60" t="s">
        <v>99</v>
      </c>
      <c r="E53" s="60" t="s">
        <v>105</v>
      </c>
      <c r="F53" s="81" t="s">
        <v>50</v>
      </c>
      <c r="G53" s="86">
        <v>18</v>
      </c>
      <c r="H53" s="60">
        <v>1</v>
      </c>
      <c r="I53" s="89">
        <v>1</v>
      </c>
      <c r="J53" s="89">
        <f>365/7*6</f>
        <v>312.85714285714289</v>
      </c>
      <c r="K53" s="2">
        <f t="shared" si="2"/>
        <v>5.7534246575342458E-2</v>
      </c>
      <c r="L53" s="60" t="s">
        <v>365</v>
      </c>
      <c r="M53" s="1" t="s">
        <v>217</v>
      </c>
    </row>
    <row r="54" spans="1:13" ht="22.5" x14ac:dyDescent="0.25">
      <c r="A54" s="33" t="s">
        <v>69</v>
      </c>
      <c r="B54" s="33">
        <v>5.3</v>
      </c>
      <c r="C54" s="28" t="s">
        <v>67</v>
      </c>
      <c r="D54" s="74" t="s">
        <v>99</v>
      </c>
      <c r="E54" s="74" t="s">
        <v>218</v>
      </c>
      <c r="F54" s="4" t="s">
        <v>50</v>
      </c>
      <c r="G54" s="50">
        <v>27</v>
      </c>
      <c r="H54" s="74">
        <v>1</v>
      </c>
      <c r="I54" s="85">
        <v>1</v>
      </c>
      <c r="J54" s="59">
        <f>365/7*10</f>
        <v>521.42857142857144</v>
      </c>
      <c r="K54" s="2">
        <f t="shared" si="2"/>
        <v>5.1780821917808216E-2</v>
      </c>
      <c r="L54" s="74" t="s">
        <v>1205</v>
      </c>
      <c r="M54" s="28" t="s">
        <v>1204</v>
      </c>
    </row>
    <row r="55" spans="1:13" ht="22.5" x14ac:dyDescent="0.25">
      <c r="A55" s="33" t="s">
        <v>69</v>
      </c>
      <c r="B55" s="33">
        <v>5.3</v>
      </c>
      <c r="C55" s="28" t="s">
        <v>67</v>
      </c>
      <c r="D55" s="74" t="s">
        <v>99</v>
      </c>
      <c r="E55" s="74" t="s">
        <v>1207</v>
      </c>
      <c r="F55" s="4" t="s">
        <v>50</v>
      </c>
      <c r="G55" s="50">
        <v>59</v>
      </c>
      <c r="H55" s="74">
        <v>1</v>
      </c>
      <c r="I55" s="85">
        <v>1</v>
      </c>
      <c r="J55" s="59">
        <f>365/7*5</f>
        <v>260.71428571428572</v>
      </c>
      <c r="K55" s="2">
        <f t="shared" si="2"/>
        <v>0.22630136986301369</v>
      </c>
      <c r="L55" s="74" t="s">
        <v>1208</v>
      </c>
      <c r="M55" s="28" t="s">
        <v>1206</v>
      </c>
    </row>
    <row r="56" spans="1:13" ht="33.75" x14ac:dyDescent="0.25">
      <c r="A56" s="34" t="s">
        <v>69</v>
      </c>
      <c r="B56" s="34">
        <v>5.3</v>
      </c>
      <c r="C56" s="28" t="s">
        <v>67</v>
      </c>
      <c r="D56" s="60" t="s">
        <v>112</v>
      </c>
      <c r="E56" s="60" t="s">
        <v>106</v>
      </c>
      <c r="F56" s="81" t="s">
        <v>96</v>
      </c>
      <c r="G56" s="50">
        <v>26.327800829875521</v>
      </c>
      <c r="H56" s="60">
        <v>1</v>
      </c>
      <c r="I56" s="88">
        <v>1</v>
      </c>
      <c r="J56" s="88">
        <f>365/7*10</f>
        <v>521.42857142857144</v>
      </c>
      <c r="K56" s="2">
        <f t="shared" si="2"/>
        <v>5.0491672824418805E-2</v>
      </c>
      <c r="L56" s="60" t="s">
        <v>366</v>
      </c>
      <c r="M56" s="60" t="s">
        <v>107</v>
      </c>
    </row>
    <row r="57" spans="1:13" ht="45" x14ac:dyDescent="0.25">
      <c r="A57" s="33" t="s">
        <v>69</v>
      </c>
      <c r="B57" s="33">
        <v>5.4</v>
      </c>
      <c r="C57" s="28" t="s">
        <v>67</v>
      </c>
      <c r="D57" s="28" t="s">
        <v>108</v>
      </c>
      <c r="E57" s="28" t="s">
        <v>109</v>
      </c>
      <c r="F57" s="4" t="s">
        <v>50</v>
      </c>
      <c r="G57" s="50">
        <v>65</v>
      </c>
      <c r="H57" s="60">
        <v>5</v>
      </c>
      <c r="I57" s="89">
        <v>1</v>
      </c>
      <c r="J57" s="89">
        <f>365/7*8</f>
        <v>417.14285714285717</v>
      </c>
      <c r="K57" s="2">
        <f t="shared" si="2"/>
        <v>0.15582191780821916</v>
      </c>
      <c r="L57" s="60" t="s">
        <v>367</v>
      </c>
      <c r="M57" s="74" t="s">
        <v>219</v>
      </c>
    </row>
    <row r="58" spans="1:13" ht="22.5" x14ac:dyDescent="0.25">
      <c r="A58" s="33" t="s">
        <v>69</v>
      </c>
      <c r="B58" s="33">
        <v>5.4</v>
      </c>
      <c r="C58" s="28" t="s">
        <v>67</v>
      </c>
      <c r="D58" s="28" t="s">
        <v>108</v>
      </c>
      <c r="E58" s="28" t="s">
        <v>110</v>
      </c>
      <c r="F58" s="60" t="s">
        <v>50</v>
      </c>
      <c r="G58" s="4">
        <v>0</v>
      </c>
      <c r="H58" s="60">
        <v>2</v>
      </c>
      <c r="I58" s="87">
        <v>1</v>
      </c>
      <c r="J58" s="89">
        <f>365/7*8</f>
        <v>417.14285714285717</v>
      </c>
      <c r="K58" s="2">
        <f t="shared" si="2"/>
        <v>0</v>
      </c>
      <c r="L58" s="60" t="s">
        <v>368</v>
      </c>
      <c r="M58" s="60" t="s">
        <v>957</v>
      </c>
    </row>
    <row r="59" spans="1:13" ht="33.75" x14ac:dyDescent="0.25">
      <c r="A59" s="34" t="s">
        <v>69</v>
      </c>
      <c r="B59" s="34">
        <v>5.4</v>
      </c>
      <c r="C59" s="28" t="s">
        <v>67</v>
      </c>
      <c r="D59" s="60" t="s">
        <v>108</v>
      </c>
      <c r="E59" s="60" t="s">
        <v>111</v>
      </c>
      <c r="F59" s="81" t="s">
        <v>74</v>
      </c>
      <c r="G59" s="4">
        <v>46.239669421487605</v>
      </c>
      <c r="H59" s="60">
        <v>5</v>
      </c>
      <c r="I59" s="96">
        <v>1</v>
      </c>
      <c r="J59" s="89">
        <f>365/7*15</f>
        <v>782.14285714285722</v>
      </c>
      <c r="K59" s="2">
        <f t="shared" si="2"/>
        <v>5.9119212045737571E-2</v>
      </c>
      <c r="L59" s="60" t="s">
        <v>369</v>
      </c>
      <c r="M59" s="28" t="s">
        <v>220</v>
      </c>
    </row>
    <row r="60" spans="1:13" ht="22.5" x14ac:dyDescent="0.25">
      <c r="A60" s="34" t="s">
        <v>69</v>
      </c>
      <c r="B60" s="34">
        <v>5.4</v>
      </c>
      <c r="C60" s="28" t="s">
        <v>67</v>
      </c>
      <c r="D60" s="60" t="s">
        <v>108</v>
      </c>
      <c r="E60" s="74" t="s">
        <v>221</v>
      </c>
      <c r="F60" s="4" t="s">
        <v>50</v>
      </c>
      <c r="G60" s="50">
        <v>10</v>
      </c>
      <c r="H60" s="74">
        <v>1</v>
      </c>
      <c r="I60" s="58">
        <v>1</v>
      </c>
      <c r="J60" s="93">
        <f>365/7*15</f>
        <v>782.14285714285722</v>
      </c>
      <c r="K60" s="2">
        <f t="shared" si="2"/>
        <v>1.278538812785388E-2</v>
      </c>
      <c r="L60" s="74" t="s">
        <v>222</v>
      </c>
      <c r="M60" s="97" t="s">
        <v>1209</v>
      </c>
    </row>
    <row r="61" spans="1:13" ht="22.5" x14ac:dyDescent="0.25">
      <c r="A61" s="60" t="s">
        <v>69</v>
      </c>
      <c r="B61" s="33">
        <v>5.4</v>
      </c>
      <c r="C61" s="28" t="s">
        <v>67</v>
      </c>
      <c r="D61" s="60" t="s">
        <v>108</v>
      </c>
      <c r="E61" s="74" t="s">
        <v>223</v>
      </c>
      <c r="F61" s="4" t="s">
        <v>79</v>
      </c>
      <c r="G61" s="50">
        <v>10</v>
      </c>
      <c r="H61" s="74">
        <v>1</v>
      </c>
      <c r="I61" s="58">
        <v>3</v>
      </c>
      <c r="J61" s="93">
        <f>365/7*5</f>
        <v>260.71428571428572</v>
      </c>
      <c r="K61" s="2">
        <f t="shared" si="2"/>
        <v>0.11506849315068493</v>
      </c>
      <c r="L61" s="60" t="s">
        <v>1211</v>
      </c>
      <c r="M61" s="28" t="s">
        <v>1210</v>
      </c>
    </row>
    <row r="62" spans="1:13" ht="22.5" x14ac:dyDescent="0.25">
      <c r="A62" s="74" t="s">
        <v>69</v>
      </c>
      <c r="B62" s="33">
        <v>5.4</v>
      </c>
      <c r="C62" s="28" t="s">
        <v>67</v>
      </c>
      <c r="D62" s="74" t="s">
        <v>108</v>
      </c>
      <c r="E62" s="74" t="s">
        <v>113</v>
      </c>
      <c r="F62" s="4" t="s">
        <v>79</v>
      </c>
      <c r="G62" s="50">
        <v>15</v>
      </c>
      <c r="H62" s="74">
        <v>1</v>
      </c>
      <c r="I62" s="58">
        <v>2</v>
      </c>
      <c r="J62" s="93">
        <f>365/7*5</f>
        <v>260.71428571428572</v>
      </c>
      <c r="K62" s="2">
        <f t="shared" si="2"/>
        <v>0.11506849315068493</v>
      </c>
      <c r="L62" s="60" t="s">
        <v>1213</v>
      </c>
      <c r="M62" s="28" t="s">
        <v>1212</v>
      </c>
    </row>
    <row r="63" spans="1:13" ht="22.5" x14ac:dyDescent="0.25">
      <c r="A63" s="74" t="s">
        <v>69</v>
      </c>
      <c r="B63" s="33">
        <v>5.4</v>
      </c>
      <c r="C63" s="28" t="s">
        <v>67</v>
      </c>
      <c r="D63" s="74" t="s">
        <v>108</v>
      </c>
      <c r="E63" s="74" t="s">
        <v>114</v>
      </c>
      <c r="F63" s="4" t="s">
        <v>79</v>
      </c>
      <c r="G63" s="50">
        <v>10</v>
      </c>
      <c r="H63" s="74">
        <v>1</v>
      </c>
      <c r="I63" s="58">
        <v>1</v>
      </c>
      <c r="J63" s="93">
        <f>365/7*5</f>
        <v>260.71428571428572</v>
      </c>
      <c r="K63" s="2">
        <f t="shared" si="2"/>
        <v>3.8356164383561646E-2</v>
      </c>
      <c r="L63" s="60" t="s">
        <v>1215</v>
      </c>
      <c r="M63" s="28" t="s">
        <v>1214</v>
      </c>
    </row>
    <row r="64" spans="1:13" ht="22.5" x14ac:dyDescent="0.25">
      <c r="A64" s="60" t="s">
        <v>69</v>
      </c>
      <c r="B64" s="33">
        <v>5.4</v>
      </c>
      <c r="C64" s="28" t="s">
        <v>67</v>
      </c>
      <c r="D64" s="60" t="s">
        <v>108</v>
      </c>
      <c r="E64" s="60" t="s">
        <v>115</v>
      </c>
      <c r="F64" s="4" t="s">
        <v>79</v>
      </c>
      <c r="G64" s="86">
        <v>7</v>
      </c>
      <c r="H64" s="60">
        <v>1</v>
      </c>
      <c r="I64" s="96">
        <v>2</v>
      </c>
      <c r="J64" s="89">
        <f>365/7*5</f>
        <v>260.71428571428572</v>
      </c>
      <c r="K64" s="2">
        <f t="shared" si="2"/>
        <v>5.3698630136986301E-2</v>
      </c>
      <c r="L64" s="60" t="s">
        <v>1217</v>
      </c>
      <c r="M64" s="28" t="s">
        <v>1216</v>
      </c>
    </row>
    <row r="65" spans="1:13" ht="22.5" x14ac:dyDescent="0.25">
      <c r="A65" s="60" t="s">
        <v>69</v>
      </c>
      <c r="B65" s="33">
        <v>5.4</v>
      </c>
      <c r="C65" s="28" t="s">
        <v>67</v>
      </c>
      <c r="D65" s="60" t="s">
        <v>108</v>
      </c>
      <c r="E65" s="74" t="s">
        <v>224</v>
      </c>
      <c r="F65" s="4" t="s">
        <v>79</v>
      </c>
      <c r="G65" s="50">
        <v>10</v>
      </c>
      <c r="H65" s="74">
        <v>1</v>
      </c>
      <c r="I65" s="58">
        <v>1</v>
      </c>
      <c r="J65" s="93">
        <f>365/7*5</f>
        <v>260.71428571428572</v>
      </c>
      <c r="K65" s="2">
        <f t="shared" si="2"/>
        <v>3.8356164383561646E-2</v>
      </c>
      <c r="L65" s="74" t="s">
        <v>370</v>
      </c>
      <c r="M65" s="28" t="s">
        <v>1218</v>
      </c>
    </row>
    <row r="66" spans="1:13" ht="56.25" x14ac:dyDescent="0.25">
      <c r="A66" s="60" t="s">
        <v>69</v>
      </c>
      <c r="B66" s="34">
        <v>5.4</v>
      </c>
      <c r="C66" s="28" t="s">
        <v>67</v>
      </c>
      <c r="D66" s="60" t="s">
        <v>108</v>
      </c>
      <c r="E66" s="60" t="s">
        <v>118</v>
      </c>
      <c r="F66" s="81" t="s">
        <v>79</v>
      </c>
      <c r="G66" s="4">
        <v>3.5964187327823693</v>
      </c>
      <c r="H66" s="60">
        <v>1</v>
      </c>
      <c r="I66" s="96">
        <v>1</v>
      </c>
      <c r="J66" s="89">
        <f>365/7*20</f>
        <v>1042.8571428571429</v>
      </c>
      <c r="K66" s="2">
        <f t="shared" si="2"/>
        <v>3.4486207026680252E-3</v>
      </c>
      <c r="L66" s="60" t="s">
        <v>371</v>
      </c>
      <c r="M66" s="28" t="s">
        <v>119</v>
      </c>
    </row>
    <row r="67" spans="1:13" ht="22.5" x14ac:dyDescent="0.25">
      <c r="A67" s="60" t="s">
        <v>69</v>
      </c>
      <c r="B67" s="34">
        <v>5.4</v>
      </c>
      <c r="C67" s="28" t="s">
        <v>67</v>
      </c>
      <c r="D67" s="60" t="s">
        <v>112</v>
      </c>
      <c r="E67" s="74" t="s">
        <v>116</v>
      </c>
      <c r="F67" s="74" t="s">
        <v>50</v>
      </c>
      <c r="G67" s="4">
        <v>4.8808539944903586</v>
      </c>
      <c r="H67" s="74"/>
      <c r="I67" s="85">
        <v>1</v>
      </c>
      <c r="J67" s="59">
        <f>365/7*35</f>
        <v>1825</v>
      </c>
      <c r="K67" s="2">
        <f t="shared" si="2"/>
        <v>2.6744405449262241E-3</v>
      </c>
      <c r="L67" s="60" t="s">
        <v>372</v>
      </c>
      <c r="M67" s="74" t="s">
        <v>225</v>
      </c>
    </row>
    <row r="68" spans="1:13" ht="22.5" x14ac:dyDescent="0.25">
      <c r="A68" s="74" t="s">
        <v>69</v>
      </c>
      <c r="B68" s="33">
        <v>5.4</v>
      </c>
      <c r="C68" s="28" t="s">
        <v>67</v>
      </c>
      <c r="D68" s="74" t="s">
        <v>108</v>
      </c>
      <c r="E68" s="74" t="s">
        <v>117</v>
      </c>
      <c r="F68" s="74" t="s">
        <v>50</v>
      </c>
      <c r="G68" s="4">
        <v>2.5688705234159781</v>
      </c>
      <c r="H68" s="74"/>
      <c r="I68" s="85">
        <v>1</v>
      </c>
      <c r="J68" s="59">
        <f>365/7*15</f>
        <v>782.14285714285722</v>
      </c>
      <c r="K68" s="2">
        <f t="shared" si="2"/>
        <v>3.2844006692076427E-3</v>
      </c>
      <c r="L68" s="74" t="s">
        <v>373</v>
      </c>
      <c r="M68" s="1" t="s">
        <v>226</v>
      </c>
    </row>
    <row r="69" spans="1:13" ht="33.75" x14ac:dyDescent="0.25">
      <c r="A69" s="60" t="s">
        <v>69</v>
      </c>
      <c r="B69" s="33">
        <v>5.4</v>
      </c>
      <c r="C69" s="28" t="s">
        <v>67</v>
      </c>
      <c r="D69" s="60" t="s">
        <v>108</v>
      </c>
      <c r="E69" s="74" t="s">
        <v>227</v>
      </c>
      <c r="F69" s="74" t="s">
        <v>74</v>
      </c>
      <c r="G69" s="4">
        <v>16.44077134986226</v>
      </c>
      <c r="H69" s="74">
        <v>3</v>
      </c>
      <c r="I69" s="58">
        <v>1</v>
      </c>
      <c r="J69" s="59">
        <f>365/7*35</f>
        <v>1825</v>
      </c>
      <c r="K69" s="2">
        <f t="shared" si="2"/>
        <v>9.0086418355409641E-3</v>
      </c>
      <c r="L69" s="60" t="s">
        <v>374</v>
      </c>
      <c r="M69" s="28" t="s">
        <v>228</v>
      </c>
    </row>
    <row r="70" spans="1:13" ht="22.5" x14ac:dyDescent="0.25">
      <c r="A70" s="60" t="s">
        <v>69</v>
      </c>
      <c r="B70" s="33">
        <v>5.4</v>
      </c>
      <c r="C70" s="28" t="s">
        <v>67</v>
      </c>
      <c r="D70" s="60" t="s">
        <v>108</v>
      </c>
      <c r="E70" s="74" t="s">
        <v>229</v>
      </c>
      <c r="F70" s="74" t="s">
        <v>50</v>
      </c>
      <c r="G70" s="4">
        <v>3.5964187327823693</v>
      </c>
      <c r="H70" s="74">
        <v>1</v>
      </c>
      <c r="I70" s="58">
        <v>1</v>
      </c>
      <c r="J70" s="59">
        <f>365/7*15</f>
        <v>782.14285714285722</v>
      </c>
      <c r="K70" s="2">
        <f t="shared" si="2"/>
        <v>4.5981609368907E-3</v>
      </c>
      <c r="L70" s="60" t="s">
        <v>375</v>
      </c>
      <c r="M70" s="28" t="s">
        <v>230</v>
      </c>
    </row>
    <row r="71" spans="1:13" ht="101.25" x14ac:dyDescent="0.25">
      <c r="A71" s="60" t="s">
        <v>69</v>
      </c>
      <c r="B71" s="33">
        <v>5.4</v>
      </c>
      <c r="C71" s="28" t="s">
        <v>67</v>
      </c>
      <c r="D71" s="60" t="s">
        <v>112</v>
      </c>
      <c r="E71" s="60" t="s">
        <v>120</v>
      </c>
      <c r="F71" s="81" t="s">
        <v>74</v>
      </c>
      <c r="G71" s="4">
        <v>18.495867768595041</v>
      </c>
      <c r="H71" s="60">
        <v>8</v>
      </c>
      <c r="I71" s="96">
        <v>1</v>
      </c>
      <c r="J71" s="89">
        <f>365/7*10</f>
        <v>521.42857142857144</v>
      </c>
      <c r="K71" s="2">
        <f t="shared" si="2"/>
        <v>3.547152722744254E-2</v>
      </c>
      <c r="L71" s="60" t="s">
        <v>376</v>
      </c>
      <c r="M71" s="28" t="s">
        <v>231</v>
      </c>
    </row>
    <row r="72" spans="1:13" ht="22.5" x14ac:dyDescent="0.25">
      <c r="A72" s="60" t="s">
        <v>69</v>
      </c>
      <c r="B72" s="33">
        <v>5.4</v>
      </c>
      <c r="C72" s="28" t="s">
        <v>67</v>
      </c>
      <c r="D72" s="60" t="s">
        <v>112</v>
      </c>
      <c r="E72" s="60" t="s">
        <v>232</v>
      </c>
      <c r="F72" s="81" t="s">
        <v>50</v>
      </c>
      <c r="G72" s="4">
        <v>0.51377410468319562</v>
      </c>
      <c r="H72" s="60">
        <v>1</v>
      </c>
      <c r="I72" s="96">
        <v>3</v>
      </c>
      <c r="J72" s="89">
        <f>365/7*2</f>
        <v>104.28571428571429</v>
      </c>
      <c r="K72" s="2">
        <f t="shared" si="2"/>
        <v>1.4779803011434394E-2</v>
      </c>
      <c r="L72" s="74" t="s">
        <v>377</v>
      </c>
      <c r="M72" s="28" t="s">
        <v>233</v>
      </c>
    </row>
    <row r="73" spans="1:13" ht="33.75" x14ac:dyDescent="0.25">
      <c r="A73" s="60" t="s">
        <v>69</v>
      </c>
      <c r="B73" s="33">
        <v>5.4</v>
      </c>
      <c r="C73" s="28" t="s">
        <v>67</v>
      </c>
      <c r="D73" s="60" t="s">
        <v>112</v>
      </c>
      <c r="E73" s="28" t="s">
        <v>349</v>
      </c>
      <c r="F73" s="28" t="s">
        <v>50</v>
      </c>
      <c r="G73" s="4">
        <v>2.5688705234159781</v>
      </c>
      <c r="H73" s="3">
        <v>1</v>
      </c>
      <c r="I73" s="3">
        <v>2</v>
      </c>
      <c r="J73" s="6">
        <f>365/7*20</f>
        <v>1042.8571428571429</v>
      </c>
      <c r="K73" s="2">
        <f t="shared" si="2"/>
        <v>4.9266010038114651E-3</v>
      </c>
      <c r="L73" s="28" t="s">
        <v>252</v>
      </c>
      <c r="M73" s="28" t="s">
        <v>127</v>
      </c>
    </row>
    <row r="74" spans="1:13" ht="22.5" x14ac:dyDescent="0.25">
      <c r="A74" s="60" t="s">
        <v>69</v>
      </c>
      <c r="B74" s="33">
        <v>5.4</v>
      </c>
      <c r="C74" s="28" t="s">
        <v>67</v>
      </c>
      <c r="D74" s="60" t="s">
        <v>112</v>
      </c>
      <c r="E74" s="60" t="s">
        <v>123</v>
      </c>
      <c r="F74" s="81" t="s">
        <v>50</v>
      </c>
      <c r="G74" s="4">
        <v>3.0826446280991737</v>
      </c>
      <c r="H74" s="60">
        <v>1</v>
      </c>
      <c r="I74" s="96">
        <v>1</v>
      </c>
      <c r="J74" s="89">
        <f>365/7*4</f>
        <v>208.57142857142858</v>
      </c>
      <c r="K74" s="2">
        <f t="shared" si="2"/>
        <v>1.4779803011434394E-2</v>
      </c>
      <c r="L74" s="74" t="s">
        <v>378</v>
      </c>
      <c r="M74" s="28" t="s">
        <v>234</v>
      </c>
    </row>
    <row r="75" spans="1:13" ht="45" x14ac:dyDescent="0.25">
      <c r="A75" s="60" t="s">
        <v>69</v>
      </c>
      <c r="B75" s="33">
        <v>5.4</v>
      </c>
      <c r="C75" s="28" t="s">
        <v>67</v>
      </c>
      <c r="D75" s="60" t="s">
        <v>112</v>
      </c>
      <c r="E75" s="74" t="s">
        <v>235</v>
      </c>
      <c r="F75" s="4" t="s">
        <v>50</v>
      </c>
      <c r="G75" s="4">
        <v>10.275482093663912</v>
      </c>
      <c r="H75" s="74">
        <v>1</v>
      </c>
      <c r="I75" s="58">
        <v>1</v>
      </c>
      <c r="J75" s="93">
        <f>365/7*6</f>
        <v>312.85714285714289</v>
      </c>
      <c r="K75" s="2">
        <f t="shared" si="2"/>
        <v>3.2844006692076426E-2</v>
      </c>
      <c r="L75" s="60" t="s">
        <v>379</v>
      </c>
      <c r="M75" s="28" t="s">
        <v>236</v>
      </c>
    </row>
    <row r="76" spans="1:13" ht="22.5" x14ac:dyDescent="0.25">
      <c r="A76" s="60" t="s">
        <v>69</v>
      </c>
      <c r="B76" s="33">
        <v>5.4</v>
      </c>
      <c r="C76" s="28" t="s">
        <v>67</v>
      </c>
      <c r="D76" s="60" t="s">
        <v>112</v>
      </c>
      <c r="E76" s="74" t="s">
        <v>237</v>
      </c>
      <c r="F76" s="4" t="s">
        <v>50</v>
      </c>
      <c r="G76" s="4">
        <v>0.61652892561983474</v>
      </c>
      <c r="H76" s="74">
        <v>1</v>
      </c>
      <c r="I76" s="74">
        <v>1</v>
      </c>
      <c r="J76" s="59">
        <f>365/7*2</f>
        <v>104.28571428571429</v>
      </c>
      <c r="K76" s="2">
        <f t="shared" si="2"/>
        <v>5.9119212045737578E-3</v>
      </c>
      <c r="L76" s="60" t="s">
        <v>380</v>
      </c>
      <c r="M76" s="28" t="s">
        <v>238</v>
      </c>
    </row>
    <row r="77" spans="1:13" ht="22.5" x14ac:dyDescent="0.25">
      <c r="A77" s="60" t="s">
        <v>69</v>
      </c>
      <c r="B77" s="33">
        <v>5.4</v>
      </c>
      <c r="C77" s="28" t="s">
        <v>67</v>
      </c>
      <c r="D77" s="60" t="s">
        <v>112</v>
      </c>
      <c r="E77" s="74" t="s">
        <v>121</v>
      </c>
      <c r="F77" s="4" t="s">
        <v>50</v>
      </c>
      <c r="G77" s="4">
        <v>4.110192837465565</v>
      </c>
      <c r="H77" s="74">
        <v>1</v>
      </c>
      <c r="I77" s="58">
        <v>1</v>
      </c>
      <c r="J77" s="93">
        <f>365/7*35</f>
        <v>1825</v>
      </c>
      <c r="K77" s="2">
        <f t="shared" si="2"/>
        <v>2.252160458885241E-3</v>
      </c>
      <c r="L77" s="60" t="s">
        <v>381</v>
      </c>
      <c r="M77" s="28" t="s">
        <v>239</v>
      </c>
    </row>
    <row r="78" spans="1:13" ht="33.75" x14ac:dyDescent="0.25">
      <c r="A78" s="60" t="s">
        <v>69</v>
      </c>
      <c r="B78" s="33">
        <v>5.4</v>
      </c>
      <c r="C78" s="28" t="s">
        <v>67</v>
      </c>
      <c r="D78" s="60" t="s">
        <v>112</v>
      </c>
      <c r="E78" s="74" t="s">
        <v>122</v>
      </c>
      <c r="F78" s="74" t="s">
        <v>50</v>
      </c>
      <c r="G78" s="4">
        <v>5.1377410468319562</v>
      </c>
      <c r="H78" s="74">
        <v>1</v>
      </c>
      <c r="I78" s="58">
        <v>1</v>
      </c>
      <c r="J78" s="59">
        <f>365/7*20</f>
        <v>1042.8571428571429</v>
      </c>
      <c r="K78" s="2">
        <f t="shared" si="2"/>
        <v>4.9266010038114651E-3</v>
      </c>
      <c r="L78" s="60" t="s">
        <v>382</v>
      </c>
      <c r="M78" s="28" t="s">
        <v>240</v>
      </c>
    </row>
    <row r="79" spans="1:13" ht="56.25" x14ac:dyDescent="0.25">
      <c r="A79" s="60" t="s">
        <v>69</v>
      </c>
      <c r="B79" s="33">
        <v>5.4</v>
      </c>
      <c r="C79" s="28" t="s">
        <v>67</v>
      </c>
      <c r="D79" s="60" t="s">
        <v>112</v>
      </c>
      <c r="E79" s="74" t="s">
        <v>241</v>
      </c>
      <c r="F79" s="4"/>
      <c r="G79" s="4">
        <v>15.41322314049587</v>
      </c>
      <c r="H79" s="74">
        <v>1</v>
      </c>
      <c r="I79" s="58">
        <v>1</v>
      </c>
      <c r="J79" s="93">
        <f>365/7</f>
        <v>52.142857142857146</v>
      </c>
      <c r="K79" s="2">
        <f>G79*I79/J79</f>
        <v>0.2955960602286879</v>
      </c>
      <c r="L79" s="60" t="s">
        <v>242</v>
      </c>
      <c r="M79" s="98"/>
    </row>
    <row r="80" spans="1:13" ht="33.75" x14ac:dyDescent="0.25">
      <c r="A80" s="34" t="s">
        <v>69</v>
      </c>
      <c r="B80" s="34">
        <v>5.4</v>
      </c>
      <c r="C80" s="28" t="s">
        <v>67</v>
      </c>
      <c r="D80" s="60" t="s">
        <v>112</v>
      </c>
      <c r="E80" s="74" t="s">
        <v>243</v>
      </c>
      <c r="F80" s="4" t="s">
        <v>74</v>
      </c>
      <c r="G80" s="4">
        <v>16.44077134986226</v>
      </c>
      <c r="H80" s="74">
        <v>3</v>
      </c>
      <c r="I80" s="58">
        <v>1</v>
      </c>
      <c r="J80" s="93">
        <f>365/7*35</f>
        <v>1825</v>
      </c>
      <c r="K80" s="2">
        <f t="shared" ref="K80:K141" si="3">G80*I80/J80</f>
        <v>9.0086418355409641E-3</v>
      </c>
      <c r="L80" s="60" t="s">
        <v>383</v>
      </c>
      <c r="M80" s="28" t="s">
        <v>244</v>
      </c>
    </row>
    <row r="81" spans="1:13" ht="67.5" x14ac:dyDescent="0.25">
      <c r="A81" s="60" t="s">
        <v>69</v>
      </c>
      <c r="B81" s="34">
        <v>5.4</v>
      </c>
      <c r="C81" s="28" t="s">
        <v>67</v>
      </c>
      <c r="D81" s="60" t="s">
        <v>112</v>
      </c>
      <c r="E81" s="60" t="s">
        <v>245</v>
      </c>
      <c r="F81" s="81" t="s">
        <v>50</v>
      </c>
      <c r="G81" s="4">
        <v>3.0826446280991737</v>
      </c>
      <c r="H81" s="60">
        <v>3</v>
      </c>
      <c r="I81" s="96">
        <v>1</v>
      </c>
      <c r="J81" s="89">
        <f>365/7*5</f>
        <v>260.71428571428572</v>
      </c>
      <c r="K81" s="2">
        <f t="shared" si="3"/>
        <v>1.1823842409147516E-2</v>
      </c>
      <c r="L81" s="60" t="s">
        <v>384</v>
      </c>
      <c r="M81" s="1" t="s">
        <v>246</v>
      </c>
    </row>
    <row r="82" spans="1:13" ht="22.5" x14ac:dyDescent="0.25">
      <c r="A82" s="60" t="s">
        <v>69</v>
      </c>
      <c r="B82" s="34">
        <v>5.4</v>
      </c>
      <c r="C82" s="28" t="s">
        <v>67</v>
      </c>
      <c r="D82" s="60" t="s">
        <v>112</v>
      </c>
      <c r="E82" s="74" t="s">
        <v>145</v>
      </c>
      <c r="F82" s="4" t="s">
        <v>79</v>
      </c>
      <c r="G82" s="4">
        <v>12.330578512396695</v>
      </c>
      <c r="H82" s="74">
        <v>1</v>
      </c>
      <c r="I82" s="74">
        <v>1</v>
      </c>
      <c r="J82" s="59">
        <f>365/7*5</f>
        <v>260.71428571428572</v>
      </c>
      <c r="K82" s="2">
        <f t="shared" si="3"/>
        <v>4.7295369636590062E-2</v>
      </c>
      <c r="L82" s="74" t="s">
        <v>385</v>
      </c>
      <c r="M82" s="28" t="s">
        <v>247</v>
      </c>
    </row>
    <row r="83" spans="1:13" ht="33.75" x14ac:dyDescent="0.25">
      <c r="A83" s="60" t="s">
        <v>69</v>
      </c>
      <c r="B83" s="42">
        <v>5.4</v>
      </c>
      <c r="C83" s="28" t="s">
        <v>67</v>
      </c>
      <c r="D83" s="60" t="s">
        <v>112</v>
      </c>
      <c r="E83" s="60" t="s">
        <v>82</v>
      </c>
      <c r="F83" s="4" t="s">
        <v>74</v>
      </c>
      <c r="G83" s="4">
        <v>6.1652892561983474</v>
      </c>
      <c r="H83" s="74">
        <v>1</v>
      </c>
      <c r="I83" s="58">
        <v>1</v>
      </c>
      <c r="J83" s="93">
        <f>365/7*15</f>
        <v>782.14285714285722</v>
      </c>
      <c r="K83" s="2">
        <f t="shared" si="3"/>
        <v>7.8825616060983431E-3</v>
      </c>
      <c r="L83" s="60" t="s">
        <v>386</v>
      </c>
      <c r="M83" s="28" t="s">
        <v>248</v>
      </c>
    </row>
    <row r="84" spans="1:13" ht="22.5" x14ac:dyDescent="0.25">
      <c r="A84" s="34" t="s">
        <v>69</v>
      </c>
      <c r="B84" s="42">
        <v>5.6</v>
      </c>
      <c r="C84" s="28" t="s">
        <v>67</v>
      </c>
      <c r="D84" s="60" t="s">
        <v>125</v>
      </c>
      <c r="E84" s="60" t="s">
        <v>126</v>
      </c>
      <c r="F84" s="74" t="s">
        <v>28</v>
      </c>
      <c r="G84" s="4">
        <v>2.4847517730496458</v>
      </c>
      <c r="H84" s="74">
        <v>30</v>
      </c>
      <c r="I84" s="58">
        <v>1</v>
      </c>
      <c r="J84" s="59">
        <f>60/7</f>
        <v>8.5714285714285712</v>
      </c>
      <c r="K84" s="2">
        <f t="shared" si="3"/>
        <v>0.28988770685579202</v>
      </c>
      <c r="L84" s="60" t="s">
        <v>387</v>
      </c>
      <c r="M84" s="94" t="s">
        <v>249</v>
      </c>
    </row>
    <row r="85" spans="1:13" ht="22.5" x14ac:dyDescent="0.25">
      <c r="A85" s="34" t="s">
        <v>69</v>
      </c>
      <c r="B85" s="34">
        <v>5.4</v>
      </c>
      <c r="C85" s="28" t="s">
        <v>67</v>
      </c>
      <c r="D85" s="60" t="s">
        <v>112</v>
      </c>
      <c r="E85" s="60" t="s">
        <v>128</v>
      </c>
      <c r="F85" s="81" t="s">
        <v>50</v>
      </c>
      <c r="G85" s="4">
        <v>1.7468319559228651</v>
      </c>
      <c r="H85" s="60">
        <v>1</v>
      </c>
      <c r="I85" s="96">
        <v>1</v>
      </c>
      <c r="J85" s="89">
        <f>365/7*2</f>
        <v>104.28571428571429</v>
      </c>
      <c r="K85" s="2">
        <f t="shared" si="3"/>
        <v>1.675044341295898E-2</v>
      </c>
      <c r="L85" s="60" t="s">
        <v>388</v>
      </c>
      <c r="M85" s="28" t="s">
        <v>129</v>
      </c>
    </row>
    <row r="86" spans="1:13" ht="22.5" x14ac:dyDescent="0.25">
      <c r="A86" s="34" t="s">
        <v>69</v>
      </c>
      <c r="B86" s="42">
        <v>5.4</v>
      </c>
      <c r="C86" s="28" t="s">
        <v>67</v>
      </c>
      <c r="D86" s="60" t="s">
        <v>112</v>
      </c>
      <c r="E86" s="60" t="s">
        <v>130</v>
      </c>
      <c r="F86" s="81" t="s">
        <v>50</v>
      </c>
      <c r="G86" s="4">
        <v>1.7468319559228651</v>
      </c>
      <c r="H86" s="60">
        <v>1</v>
      </c>
      <c r="I86" s="96">
        <v>1</v>
      </c>
      <c r="J86" s="89">
        <f>365/7*2</f>
        <v>104.28571428571429</v>
      </c>
      <c r="K86" s="2">
        <f t="shared" si="3"/>
        <v>1.675044341295898E-2</v>
      </c>
      <c r="L86" s="60" t="s">
        <v>389</v>
      </c>
      <c r="M86" s="28" t="s">
        <v>131</v>
      </c>
    </row>
    <row r="87" spans="1:13" ht="45" x14ac:dyDescent="0.25">
      <c r="A87" s="33" t="s">
        <v>69</v>
      </c>
      <c r="B87" s="33">
        <v>5.4</v>
      </c>
      <c r="C87" s="28" t="s">
        <v>67</v>
      </c>
      <c r="D87" s="60" t="s">
        <v>112</v>
      </c>
      <c r="E87" s="60" t="s">
        <v>250</v>
      </c>
      <c r="F87" s="81" t="s">
        <v>52</v>
      </c>
      <c r="G87" s="4">
        <v>8.2101101928374653</v>
      </c>
      <c r="H87" s="60">
        <v>17</v>
      </c>
      <c r="I87" s="96">
        <v>1</v>
      </c>
      <c r="J87" s="89">
        <f>365/7*5</f>
        <v>260.71428571428572</v>
      </c>
      <c r="K87" s="2">
        <f t="shared" si="3"/>
        <v>3.149083361636288E-2</v>
      </c>
      <c r="L87" s="60" t="s">
        <v>390</v>
      </c>
      <c r="M87" s="28" t="s">
        <v>251</v>
      </c>
    </row>
    <row r="88" spans="1:13" ht="45" x14ac:dyDescent="0.25">
      <c r="A88" s="33" t="s">
        <v>69</v>
      </c>
      <c r="B88" s="42">
        <v>5.4</v>
      </c>
      <c r="C88" s="28" t="s">
        <v>67</v>
      </c>
      <c r="D88" s="60" t="s">
        <v>112</v>
      </c>
      <c r="E88" s="60" t="s">
        <v>124</v>
      </c>
      <c r="F88" s="81" t="s">
        <v>76</v>
      </c>
      <c r="G88" s="4">
        <v>10.778980716253445</v>
      </c>
      <c r="H88" s="60">
        <v>3</v>
      </c>
      <c r="I88" s="96">
        <v>1</v>
      </c>
      <c r="J88" s="89">
        <f>365/7*10</f>
        <v>521.42857142857144</v>
      </c>
      <c r="K88" s="2">
        <f t="shared" si="3"/>
        <v>2.0672017811992908E-2</v>
      </c>
      <c r="L88" s="60" t="s">
        <v>391</v>
      </c>
      <c r="M88" s="28" t="s">
        <v>253</v>
      </c>
    </row>
    <row r="89" spans="1:13" ht="33.75" x14ac:dyDescent="0.25">
      <c r="A89" s="60" t="s">
        <v>69</v>
      </c>
      <c r="B89" s="42">
        <v>5.4</v>
      </c>
      <c r="C89" s="28" t="s">
        <v>67</v>
      </c>
      <c r="D89" s="60" t="s">
        <v>137</v>
      </c>
      <c r="E89" s="60" t="s">
        <v>254</v>
      </c>
      <c r="F89" s="81" t="s">
        <v>76</v>
      </c>
      <c r="G89" s="4">
        <v>5.1274655647382925</v>
      </c>
      <c r="H89" s="60">
        <v>1</v>
      </c>
      <c r="I89" s="96">
        <v>1</v>
      </c>
      <c r="J89" s="89">
        <f>365/7*10</f>
        <v>521.42857142857144</v>
      </c>
      <c r="K89" s="2">
        <f t="shared" si="3"/>
        <v>9.8334956036076841E-3</v>
      </c>
      <c r="L89" s="74" t="s">
        <v>392</v>
      </c>
      <c r="M89" s="28" t="s">
        <v>255</v>
      </c>
    </row>
    <row r="90" spans="1:13" ht="22.5" x14ac:dyDescent="0.25">
      <c r="A90" s="34" t="s">
        <v>69</v>
      </c>
      <c r="B90" s="34">
        <v>5.6</v>
      </c>
      <c r="C90" s="28" t="s">
        <v>67</v>
      </c>
      <c r="D90" s="60" t="s">
        <v>132</v>
      </c>
      <c r="E90" s="60" t="s">
        <v>182</v>
      </c>
      <c r="F90" s="81" t="s">
        <v>28</v>
      </c>
      <c r="G90" s="4">
        <v>1.920035460992908</v>
      </c>
      <c r="H90" s="60">
        <v>1</v>
      </c>
      <c r="I90" s="60">
        <v>1</v>
      </c>
      <c r="J90" s="89">
        <f>40/5*2</f>
        <v>16</v>
      </c>
      <c r="K90" s="2">
        <f t="shared" si="3"/>
        <v>0.12000221631205675</v>
      </c>
      <c r="L90" s="60" t="s">
        <v>393</v>
      </c>
      <c r="M90" s="28" t="s">
        <v>256</v>
      </c>
    </row>
    <row r="91" spans="1:13" ht="22.5" x14ac:dyDescent="0.25">
      <c r="A91" s="34" t="s">
        <v>69</v>
      </c>
      <c r="B91" s="34">
        <v>5.6</v>
      </c>
      <c r="C91" s="28" t="s">
        <v>67</v>
      </c>
      <c r="D91" s="74" t="s">
        <v>132</v>
      </c>
      <c r="E91" s="60" t="s">
        <v>133</v>
      </c>
      <c r="F91" s="81" t="s">
        <v>28</v>
      </c>
      <c r="G91" s="4">
        <v>1.6941489361702131</v>
      </c>
      <c r="H91" s="60">
        <v>1</v>
      </c>
      <c r="I91" s="60">
        <v>1</v>
      </c>
      <c r="J91" s="89">
        <f>74/5*2</f>
        <v>29.6</v>
      </c>
      <c r="K91" s="2">
        <f t="shared" si="3"/>
        <v>5.7234761357101795E-2</v>
      </c>
      <c r="L91" s="60" t="s">
        <v>393</v>
      </c>
      <c r="M91" s="28" t="s">
        <v>257</v>
      </c>
    </row>
    <row r="92" spans="1:13" ht="45" x14ac:dyDescent="0.25">
      <c r="A92" s="33" t="s">
        <v>69</v>
      </c>
      <c r="B92" s="33">
        <v>5.6</v>
      </c>
      <c r="C92" s="28" t="s">
        <v>67</v>
      </c>
      <c r="D92" s="74" t="s">
        <v>132</v>
      </c>
      <c r="E92" s="60" t="s">
        <v>258</v>
      </c>
      <c r="F92" s="81" t="s">
        <v>50</v>
      </c>
      <c r="G92" s="4">
        <v>1.1294326241134753</v>
      </c>
      <c r="H92" s="60">
        <v>1</v>
      </c>
      <c r="I92" s="96">
        <v>1</v>
      </c>
      <c r="J92" s="89">
        <v>50</v>
      </c>
      <c r="K92" s="2">
        <f t="shared" si="3"/>
        <v>2.2588652482269506E-2</v>
      </c>
      <c r="L92" s="74" t="s">
        <v>394</v>
      </c>
      <c r="M92" s="28" t="s">
        <v>259</v>
      </c>
    </row>
    <row r="93" spans="1:13" ht="33.75" x14ac:dyDescent="0.25">
      <c r="A93" s="60" t="s">
        <v>69</v>
      </c>
      <c r="B93" s="34">
        <v>5.4</v>
      </c>
      <c r="C93" s="28" t="s">
        <v>67</v>
      </c>
      <c r="D93" s="60" t="s">
        <v>132</v>
      </c>
      <c r="E93" s="60" t="s">
        <v>260</v>
      </c>
      <c r="F93" s="81" t="s">
        <v>27</v>
      </c>
      <c r="G93" s="4">
        <v>21.578512396694215</v>
      </c>
      <c r="H93" s="60">
        <v>1</v>
      </c>
      <c r="I93" s="60">
        <v>1</v>
      </c>
      <c r="J93" s="89">
        <f>365/7*15</f>
        <v>782.14285714285722</v>
      </c>
      <c r="K93" s="2">
        <f t="shared" si="3"/>
        <v>2.7588965621344198E-2</v>
      </c>
      <c r="L93" s="60" t="s">
        <v>395</v>
      </c>
      <c r="M93" s="33" t="s">
        <v>261</v>
      </c>
    </row>
    <row r="94" spans="1:13" ht="45" x14ac:dyDescent="0.25">
      <c r="A94" s="74" t="s">
        <v>69</v>
      </c>
      <c r="B94" s="34">
        <v>5.4</v>
      </c>
      <c r="C94" s="28" t="s">
        <v>67</v>
      </c>
      <c r="D94" s="74" t="s">
        <v>132</v>
      </c>
      <c r="E94" s="60" t="s">
        <v>262</v>
      </c>
      <c r="F94" s="81" t="s">
        <v>76</v>
      </c>
      <c r="G94" s="4">
        <v>7.182561983471075</v>
      </c>
      <c r="H94" s="60">
        <v>2</v>
      </c>
      <c r="I94" s="96">
        <v>2</v>
      </c>
      <c r="J94" s="89">
        <f>365/7*30</f>
        <v>1564.2857142857144</v>
      </c>
      <c r="K94" s="2">
        <f t="shared" si="3"/>
        <v>9.1831842711045698E-3</v>
      </c>
      <c r="L94" s="74" t="s">
        <v>396</v>
      </c>
      <c r="M94" s="28" t="s">
        <v>263</v>
      </c>
    </row>
    <row r="95" spans="1:13" ht="22.5" x14ac:dyDescent="0.25">
      <c r="A95" s="60" t="s">
        <v>69</v>
      </c>
      <c r="B95" s="34">
        <v>5.3</v>
      </c>
      <c r="C95" s="28" t="s">
        <v>67</v>
      </c>
      <c r="D95" s="60" t="s">
        <v>132</v>
      </c>
      <c r="E95" s="60" t="s">
        <v>134</v>
      </c>
      <c r="F95" s="81" t="s">
        <v>74</v>
      </c>
      <c r="G95" s="50">
        <v>29.487136929460583</v>
      </c>
      <c r="H95" s="60">
        <v>1</v>
      </c>
      <c r="I95" s="96">
        <v>1</v>
      </c>
      <c r="J95" s="89">
        <f>365/7*5</f>
        <v>260.71428571428572</v>
      </c>
      <c r="K95" s="2">
        <f t="shared" si="3"/>
        <v>0.11310134712669812</v>
      </c>
      <c r="L95" s="60" t="s">
        <v>397</v>
      </c>
      <c r="M95" s="28" t="s">
        <v>264</v>
      </c>
    </row>
    <row r="96" spans="1:13" ht="45" x14ac:dyDescent="0.25">
      <c r="A96" s="34" t="s">
        <v>69</v>
      </c>
      <c r="B96" s="34">
        <v>5.4</v>
      </c>
      <c r="C96" s="28" t="s">
        <v>67</v>
      </c>
      <c r="D96" s="60" t="s">
        <v>132</v>
      </c>
      <c r="E96" s="60" t="s">
        <v>135</v>
      </c>
      <c r="F96" s="81" t="s">
        <v>74</v>
      </c>
      <c r="G96" s="4">
        <v>20.550964187327825</v>
      </c>
      <c r="H96" s="60">
        <v>1</v>
      </c>
      <c r="I96" s="96">
        <v>1</v>
      </c>
      <c r="J96" s="89">
        <f>365/7*15</f>
        <v>782.14285714285722</v>
      </c>
      <c r="K96" s="2">
        <f t="shared" si="3"/>
        <v>2.6275205353661141E-2</v>
      </c>
      <c r="L96" s="60" t="s">
        <v>398</v>
      </c>
      <c r="M96" s="28" t="s">
        <v>265</v>
      </c>
    </row>
    <row r="97" spans="1:13" ht="22.5" x14ac:dyDescent="0.25">
      <c r="A97" s="34" t="s">
        <v>69</v>
      </c>
      <c r="B97" s="34">
        <v>5.4</v>
      </c>
      <c r="C97" s="28" t="s">
        <v>67</v>
      </c>
      <c r="D97" s="74" t="s">
        <v>132</v>
      </c>
      <c r="E97" s="49" t="s">
        <v>136</v>
      </c>
      <c r="F97" s="57" t="s">
        <v>74</v>
      </c>
      <c r="G97" s="4">
        <v>6.1652892561983474</v>
      </c>
      <c r="H97" s="58">
        <v>1</v>
      </c>
      <c r="I97" s="58">
        <v>1</v>
      </c>
      <c r="J97" s="59">
        <f>365/7*2</f>
        <v>104.28571428571429</v>
      </c>
      <c r="K97" s="2">
        <f t="shared" si="3"/>
        <v>5.9119212045737578E-2</v>
      </c>
      <c r="L97" s="74" t="s">
        <v>399</v>
      </c>
      <c r="M97" s="5" t="s">
        <v>266</v>
      </c>
    </row>
    <row r="98" spans="1:13" ht="22.5" x14ac:dyDescent="0.25">
      <c r="A98" s="60" t="s">
        <v>69</v>
      </c>
      <c r="B98" s="33">
        <v>5.6</v>
      </c>
      <c r="C98" s="28" t="s">
        <v>67</v>
      </c>
      <c r="D98" s="60" t="s">
        <v>132</v>
      </c>
      <c r="E98" s="28" t="s">
        <v>267</v>
      </c>
      <c r="F98" s="60" t="s">
        <v>74</v>
      </c>
      <c r="G98" s="4">
        <v>9.0354609929078027</v>
      </c>
      <c r="H98" s="60"/>
      <c r="I98" s="60">
        <v>1</v>
      </c>
      <c r="J98" s="89">
        <f>365/7*10</f>
        <v>521.42857142857144</v>
      </c>
      <c r="K98" s="2">
        <f t="shared" si="3"/>
        <v>1.7328281356261539E-2</v>
      </c>
      <c r="L98" s="74" t="s">
        <v>268</v>
      </c>
      <c r="M98" s="1" t="s">
        <v>269</v>
      </c>
    </row>
    <row r="99" spans="1:13" ht="33.75" x14ac:dyDescent="0.25">
      <c r="A99" s="60" t="s">
        <v>69</v>
      </c>
      <c r="B99" s="33">
        <v>5.6</v>
      </c>
      <c r="C99" s="28" t="s">
        <v>67</v>
      </c>
      <c r="D99" s="60" t="s">
        <v>132</v>
      </c>
      <c r="E99" s="74" t="s">
        <v>270</v>
      </c>
      <c r="F99" s="4" t="s">
        <v>27</v>
      </c>
      <c r="G99" s="4">
        <v>1.8070921985815607</v>
      </c>
      <c r="H99" s="74">
        <v>36</v>
      </c>
      <c r="I99" s="58">
        <v>1</v>
      </c>
      <c r="J99" s="59">
        <f>365/7*3</f>
        <v>156.42857142857144</v>
      </c>
      <c r="K99" s="2">
        <f t="shared" si="3"/>
        <v>1.1552187570841026E-2</v>
      </c>
      <c r="L99" s="74" t="s">
        <v>400</v>
      </c>
      <c r="M99" s="99" t="s">
        <v>271</v>
      </c>
    </row>
    <row r="100" spans="1:13" ht="56.25" x14ac:dyDescent="0.25">
      <c r="A100" s="34" t="s">
        <v>69</v>
      </c>
      <c r="B100" s="34">
        <v>5.6</v>
      </c>
      <c r="C100" s="28" t="s">
        <v>67</v>
      </c>
      <c r="D100" s="60" t="s">
        <v>137</v>
      </c>
      <c r="E100" s="60" t="s">
        <v>272</v>
      </c>
      <c r="F100" s="4" t="s">
        <v>79</v>
      </c>
      <c r="G100" s="4">
        <v>16.941489361702128</v>
      </c>
      <c r="H100" s="74">
        <v>1</v>
      </c>
      <c r="I100" s="58">
        <v>1</v>
      </c>
      <c r="J100" s="59">
        <f>365/7*5</f>
        <v>260.71428571428572</v>
      </c>
      <c r="K100" s="2">
        <f t="shared" si="3"/>
        <v>6.498105508598076E-2</v>
      </c>
      <c r="L100" s="60" t="s">
        <v>401</v>
      </c>
      <c r="M100" s="28" t="s">
        <v>273</v>
      </c>
    </row>
    <row r="101" spans="1:13" ht="22.5" x14ac:dyDescent="0.25">
      <c r="A101" s="34" t="s">
        <v>69</v>
      </c>
      <c r="B101" s="34">
        <v>5.6</v>
      </c>
      <c r="C101" s="28" t="s">
        <v>67</v>
      </c>
      <c r="D101" s="60" t="s">
        <v>137</v>
      </c>
      <c r="E101" s="74" t="s">
        <v>274</v>
      </c>
      <c r="F101" s="4" t="s">
        <v>79</v>
      </c>
      <c r="G101" s="4">
        <v>2.2588652482269507</v>
      </c>
      <c r="H101" s="74">
        <v>1</v>
      </c>
      <c r="I101" s="74">
        <v>1</v>
      </c>
      <c r="J101" s="59">
        <f>365/7*2</f>
        <v>104.28571428571429</v>
      </c>
      <c r="K101" s="2">
        <f t="shared" si="3"/>
        <v>2.1660351695326922E-2</v>
      </c>
      <c r="L101" s="74" t="s">
        <v>350</v>
      </c>
      <c r="M101" s="1" t="s">
        <v>275</v>
      </c>
    </row>
    <row r="102" spans="1:13" ht="33.75" x14ac:dyDescent="0.25">
      <c r="A102" s="60" t="s">
        <v>69</v>
      </c>
      <c r="B102" s="42">
        <v>5.3</v>
      </c>
      <c r="C102" s="28" t="s">
        <v>67</v>
      </c>
      <c r="D102" s="60" t="s">
        <v>137</v>
      </c>
      <c r="E102" s="60" t="s">
        <v>138</v>
      </c>
      <c r="F102" s="81" t="s">
        <v>74</v>
      </c>
      <c r="G102" s="50">
        <v>94.769551867219917</v>
      </c>
      <c r="H102" s="60">
        <v>1</v>
      </c>
      <c r="I102" s="90">
        <v>1</v>
      </c>
      <c r="J102" s="89">
        <f>365/7*8</f>
        <v>417.14285714285717</v>
      </c>
      <c r="K102" s="2">
        <f t="shared" si="3"/>
        <v>0.2271872818734724</v>
      </c>
      <c r="L102" s="60" t="s">
        <v>402</v>
      </c>
      <c r="M102" s="28" t="s">
        <v>139</v>
      </c>
    </row>
    <row r="103" spans="1:13" ht="33.75" x14ac:dyDescent="0.25">
      <c r="A103" s="60" t="s">
        <v>69</v>
      </c>
      <c r="B103" s="42">
        <v>5.6</v>
      </c>
      <c r="C103" s="28" t="s">
        <v>67</v>
      </c>
      <c r="D103" s="60" t="s">
        <v>137</v>
      </c>
      <c r="E103" s="74" t="s">
        <v>140</v>
      </c>
      <c r="F103" s="4" t="s">
        <v>27</v>
      </c>
      <c r="G103" s="4">
        <v>9.0354609929078027</v>
      </c>
      <c r="H103" s="74">
        <v>1</v>
      </c>
      <c r="I103" s="58">
        <v>1</v>
      </c>
      <c r="J103" s="59">
        <f>365/7*5</f>
        <v>260.71428571428572</v>
      </c>
      <c r="K103" s="2">
        <f t="shared" si="3"/>
        <v>3.4656562712523077E-2</v>
      </c>
      <c r="L103" s="60" t="s">
        <v>403</v>
      </c>
      <c r="M103" s="28" t="s">
        <v>276</v>
      </c>
    </row>
    <row r="104" spans="1:13" x14ac:dyDescent="0.25">
      <c r="A104" s="60" t="s">
        <v>69</v>
      </c>
      <c r="B104" s="42">
        <v>5.6</v>
      </c>
      <c r="C104" s="28" t="s">
        <v>67</v>
      </c>
      <c r="D104" s="60" t="s">
        <v>137</v>
      </c>
      <c r="E104" s="74" t="s">
        <v>143</v>
      </c>
      <c r="F104" s="81" t="s">
        <v>28</v>
      </c>
      <c r="G104" s="4">
        <v>3.9530141843971638</v>
      </c>
      <c r="H104" s="60">
        <v>4</v>
      </c>
      <c r="I104" s="60">
        <v>1</v>
      </c>
      <c r="J104" s="59">
        <v>6</v>
      </c>
      <c r="K104" s="2">
        <f t="shared" si="3"/>
        <v>0.6588356973995273</v>
      </c>
      <c r="L104" s="60" t="s">
        <v>404</v>
      </c>
      <c r="M104" s="94" t="s">
        <v>144</v>
      </c>
    </row>
    <row r="105" spans="1:13" ht="45" x14ac:dyDescent="0.25">
      <c r="A105" s="33" t="s">
        <v>69</v>
      </c>
      <c r="B105" s="33">
        <v>5.6</v>
      </c>
      <c r="C105" s="28" t="s">
        <v>67</v>
      </c>
      <c r="D105" s="60" t="s">
        <v>137</v>
      </c>
      <c r="E105" s="49" t="s">
        <v>277</v>
      </c>
      <c r="F105" s="57" t="s">
        <v>278</v>
      </c>
      <c r="G105" s="4">
        <v>1.1294326241134753</v>
      </c>
      <c r="H105" s="58">
        <v>7</v>
      </c>
      <c r="I105" s="58">
        <v>1</v>
      </c>
      <c r="J105" s="59">
        <f>365/7</f>
        <v>52.142857142857146</v>
      </c>
      <c r="K105" s="2">
        <f t="shared" si="3"/>
        <v>2.1660351695326922E-2</v>
      </c>
      <c r="L105" s="60" t="s">
        <v>405</v>
      </c>
      <c r="M105" s="28" t="s">
        <v>279</v>
      </c>
    </row>
    <row r="106" spans="1:13" ht="22.5" x14ac:dyDescent="0.25">
      <c r="A106" s="60" t="s">
        <v>69</v>
      </c>
      <c r="B106" s="42">
        <v>5.6</v>
      </c>
      <c r="C106" s="28" t="s">
        <v>67</v>
      </c>
      <c r="D106" s="60" t="s">
        <v>137</v>
      </c>
      <c r="E106" s="60" t="s">
        <v>146</v>
      </c>
      <c r="F106" s="81" t="s">
        <v>50</v>
      </c>
      <c r="G106" s="4">
        <v>4.5177304964539013</v>
      </c>
      <c r="H106" s="60">
        <v>5</v>
      </c>
      <c r="I106" s="96">
        <v>1</v>
      </c>
      <c r="J106" s="89">
        <f>365/7</f>
        <v>52.142857142857146</v>
      </c>
      <c r="K106" s="2">
        <f t="shared" si="3"/>
        <v>8.6641406781307689E-2</v>
      </c>
      <c r="L106" s="74" t="s">
        <v>406</v>
      </c>
      <c r="M106" s="60" t="s">
        <v>280</v>
      </c>
    </row>
    <row r="107" spans="1:13" ht="22.5" x14ac:dyDescent="0.25">
      <c r="A107" s="34" t="s">
        <v>69</v>
      </c>
      <c r="B107" s="34">
        <v>5.6</v>
      </c>
      <c r="C107" s="28" t="s">
        <v>67</v>
      </c>
      <c r="D107" s="60" t="s">
        <v>125</v>
      </c>
      <c r="E107" s="60" t="s">
        <v>148</v>
      </c>
      <c r="F107" s="81" t="s">
        <v>28</v>
      </c>
      <c r="G107" s="4">
        <v>2.2588652482269507</v>
      </c>
      <c r="H107" s="60">
        <v>1</v>
      </c>
      <c r="I107" s="60">
        <v>1</v>
      </c>
      <c r="J107" s="93">
        <v>6</v>
      </c>
      <c r="K107" s="2">
        <f t="shared" si="3"/>
        <v>0.37647754137115846</v>
      </c>
      <c r="L107" s="60" t="s">
        <v>407</v>
      </c>
      <c r="M107" s="1" t="s">
        <v>281</v>
      </c>
    </row>
    <row r="108" spans="1:13" ht="33.75" x14ac:dyDescent="0.25">
      <c r="A108" s="34" t="s">
        <v>69</v>
      </c>
      <c r="B108" s="34">
        <v>5.6</v>
      </c>
      <c r="C108" s="28" t="s">
        <v>67</v>
      </c>
      <c r="D108" s="60" t="s">
        <v>125</v>
      </c>
      <c r="E108" s="74" t="s">
        <v>282</v>
      </c>
      <c r="F108" s="4" t="s">
        <v>28</v>
      </c>
      <c r="G108" s="4">
        <v>1.0164893617021278</v>
      </c>
      <c r="H108" s="74">
        <v>1</v>
      </c>
      <c r="I108" s="74">
        <v>1</v>
      </c>
      <c r="J108" s="59">
        <v>4.3452380952380949</v>
      </c>
      <c r="K108" s="2">
        <f t="shared" si="3"/>
        <v>0.23393179830953079</v>
      </c>
      <c r="L108" s="60" t="s">
        <v>960</v>
      </c>
      <c r="M108" s="94" t="s">
        <v>152</v>
      </c>
    </row>
    <row r="109" spans="1:13" ht="33.75" x14ac:dyDescent="0.25">
      <c r="A109" s="33" t="s">
        <v>69</v>
      </c>
      <c r="B109" s="33">
        <v>5.6</v>
      </c>
      <c r="C109" s="28" t="s">
        <v>67</v>
      </c>
      <c r="D109" s="74" t="s">
        <v>125</v>
      </c>
      <c r="E109" s="74" t="s">
        <v>283</v>
      </c>
      <c r="F109" s="4" t="s">
        <v>28</v>
      </c>
      <c r="G109" s="4">
        <v>4.5177304964539013</v>
      </c>
      <c r="H109" s="74">
        <v>1</v>
      </c>
      <c r="I109" s="58">
        <v>1</v>
      </c>
      <c r="J109" s="93">
        <f>365/84*6</f>
        <v>26.071428571428569</v>
      </c>
      <c r="K109" s="2">
        <f t="shared" si="3"/>
        <v>0.17328281356261541</v>
      </c>
      <c r="L109" s="74" t="s">
        <v>408</v>
      </c>
      <c r="M109" s="94" t="s">
        <v>284</v>
      </c>
    </row>
    <row r="110" spans="1:13" ht="33.75" x14ac:dyDescent="0.25">
      <c r="A110" s="34" t="s">
        <v>69</v>
      </c>
      <c r="B110" s="34">
        <v>5.6</v>
      </c>
      <c r="C110" s="28" t="s">
        <v>67</v>
      </c>
      <c r="D110" s="60" t="s">
        <v>125</v>
      </c>
      <c r="E110" s="74" t="s">
        <v>155</v>
      </c>
      <c r="F110" s="4" t="s">
        <v>28</v>
      </c>
      <c r="G110" s="4">
        <v>1.0729609929078014</v>
      </c>
      <c r="H110" s="74">
        <v>1</v>
      </c>
      <c r="I110" s="74">
        <v>1</v>
      </c>
      <c r="J110" s="59">
        <v>4.3499999999999996</v>
      </c>
      <c r="K110" s="2">
        <f t="shared" si="3"/>
        <v>0.24665769951903482</v>
      </c>
      <c r="L110" s="60" t="s">
        <v>409</v>
      </c>
      <c r="M110" s="94" t="s">
        <v>285</v>
      </c>
    </row>
    <row r="111" spans="1:13" ht="33.75" x14ac:dyDescent="0.25">
      <c r="A111" s="34" t="s">
        <v>69</v>
      </c>
      <c r="B111" s="34">
        <v>5.6</v>
      </c>
      <c r="C111" s="28" t="s">
        <v>67</v>
      </c>
      <c r="D111" s="60" t="s">
        <v>125</v>
      </c>
      <c r="E111" s="74" t="s">
        <v>286</v>
      </c>
      <c r="F111" s="4" t="s">
        <v>28</v>
      </c>
      <c r="G111" s="4">
        <v>1.8635638297872341</v>
      </c>
      <c r="H111" s="74">
        <v>1</v>
      </c>
      <c r="I111" s="58">
        <v>1</v>
      </c>
      <c r="J111" s="93">
        <f>365/84*18</f>
        <v>78.214285714285708</v>
      </c>
      <c r="K111" s="2">
        <f>G111*I111/J111</f>
        <v>2.3826386864859616E-2</v>
      </c>
      <c r="L111" s="74" t="s">
        <v>958</v>
      </c>
      <c r="M111" s="28" t="s">
        <v>287</v>
      </c>
    </row>
    <row r="112" spans="1:13" ht="22.5" x14ac:dyDescent="0.25">
      <c r="A112" s="34" t="s">
        <v>69</v>
      </c>
      <c r="B112" s="42">
        <v>5.6</v>
      </c>
      <c r="C112" s="28" t="s">
        <v>67</v>
      </c>
      <c r="D112" s="60" t="s">
        <v>125</v>
      </c>
      <c r="E112" s="60" t="s">
        <v>141</v>
      </c>
      <c r="F112" s="81" t="s">
        <v>28</v>
      </c>
      <c r="G112" s="4">
        <v>0.45177304964539017</v>
      </c>
      <c r="H112" s="60">
        <v>8</v>
      </c>
      <c r="I112" s="60">
        <v>1</v>
      </c>
      <c r="J112" s="89">
        <v>8</v>
      </c>
      <c r="K112" s="2">
        <f t="shared" si="3"/>
        <v>5.6471631205673771E-2</v>
      </c>
      <c r="L112" s="60" t="s">
        <v>410</v>
      </c>
      <c r="M112" s="100" t="s">
        <v>142</v>
      </c>
    </row>
    <row r="113" spans="1:14" ht="22.5" x14ac:dyDescent="0.25">
      <c r="A113" s="33" t="s">
        <v>69</v>
      </c>
      <c r="B113" s="42">
        <v>5.6</v>
      </c>
      <c r="C113" s="28" t="s">
        <v>67</v>
      </c>
      <c r="D113" s="60" t="s">
        <v>125</v>
      </c>
      <c r="E113" s="74" t="s">
        <v>288</v>
      </c>
      <c r="F113" s="4" t="s">
        <v>28</v>
      </c>
      <c r="G113" s="4">
        <v>1.1294326241134753</v>
      </c>
      <c r="H113" s="74">
        <v>5</v>
      </c>
      <c r="I113" s="58">
        <v>1</v>
      </c>
      <c r="J113" s="93">
        <v>5</v>
      </c>
      <c r="K113" s="2">
        <f t="shared" si="3"/>
        <v>0.22588652482269506</v>
      </c>
      <c r="L113" s="60" t="s">
        <v>411</v>
      </c>
      <c r="M113" s="28" t="s">
        <v>289</v>
      </c>
    </row>
    <row r="114" spans="1:14" ht="22.5" x14ac:dyDescent="0.25">
      <c r="A114" s="33" t="s">
        <v>69</v>
      </c>
      <c r="B114" s="33">
        <v>5.6</v>
      </c>
      <c r="C114" s="28" t="s">
        <v>67</v>
      </c>
      <c r="D114" s="74" t="s">
        <v>125</v>
      </c>
      <c r="E114" s="74" t="s">
        <v>151</v>
      </c>
      <c r="F114" s="81" t="s">
        <v>28</v>
      </c>
      <c r="G114" s="4">
        <v>1.468262411347518</v>
      </c>
      <c r="H114" s="60">
        <v>1</v>
      </c>
      <c r="I114" s="90">
        <v>1</v>
      </c>
      <c r="J114" s="59">
        <f>365/84*8</f>
        <v>34.761904761904759</v>
      </c>
      <c r="K114" s="2">
        <f t="shared" si="3"/>
        <v>4.2237685805887507E-2</v>
      </c>
      <c r="L114" s="74" t="s">
        <v>959</v>
      </c>
      <c r="M114" s="33" t="s">
        <v>290</v>
      </c>
    </row>
    <row r="115" spans="1:14" ht="22.5" x14ac:dyDescent="0.25">
      <c r="A115" s="33" t="s">
        <v>69</v>
      </c>
      <c r="B115" s="33">
        <v>5.6</v>
      </c>
      <c r="C115" s="28" t="s">
        <v>67</v>
      </c>
      <c r="D115" s="74" t="s">
        <v>125</v>
      </c>
      <c r="E115" s="74" t="s">
        <v>149</v>
      </c>
      <c r="F115" s="81" t="s">
        <v>28</v>
      </c>
      <c r="G115" s="4">
        <v>1.5247340425531919</v>
      </c>
      <c r="H115" s="60">
        <v>1</v>
      </c>
      <c r="I115" s="90">
        <v>1</v>
      </c>
      <c r="J115" s="93">
        <f>365/84*3</f>
        <v>13.035714285714285</v>
      </c>
      <c r="K115" s="2">
        <f t="shared" si="3"/>
        <v>0.11696589915476542</v>
      </c>
      <c r="L115" s="74" t="s">
        <v>412</v>
      </c>
      <c r="M115" s="94" t="s">
        <v>150</v>
      </c>
    </row>
    <row r="116" spans="1:14" ht="22.5" x14ac:dyDescent="0.25">
      <c r="A116" s="33" t="s">
        <v>69</v>
      </c>
      <c r="B116" s="33">
        <v>5.6</v>
      </c>
      <c r="C116" s="28" t="s">
        <v>67</v>
      </c>
      <c r="D116" s="74" t="s">
        <v>125</v>
      </c>
      <c r="E116" s="74" t="s">
        <v>153</v>
      </c>
      <c r="F116" s="4" t="s">
        <v>28</v>
      </c>
      <c r="G116" s="4">
        <v>1.1294326241134753</v>
      </c>
      <c r="H116" s="74">
        <v>1</v>
      </c>
      <c r="I116" s="74">
        <v>1</v>
      </c>
      <c r="J116" s="93">
        <f>365/84*3</f>
        <v>13.035714285714285</v>
      </c>
      <c r="K116" s="2">
        <f t="shared" si="3"/>
        <v>8.6641406781307703E-2</v>
      </c>
      <c r="L116" s="74" t="s">
        <v>413</v>
      </c>
      <c r="M116" s="94" t="s">
        <v>154</v>
      </c>
    </row>
    <row r="117" spans="1:14" ht="22.5" x14ac:dyDescent="0.25">
      <c r="A117" s="33" t="s">
        <v>69</v>
      </c>
      <c r="B117" s="33">
        <v>5.5</v>
      </c>
      <c r="C117" s="28" t="s">
        <v>67</v>
      </c>
      <c r="D117" s="74" t="s">
        <v>291</v>
      </c>
      <c r="E117" s="74" t="s">
        <v>292</v>
      </c>
      <c r="F117" s="4" t="s">
        <v>74</v>
      </c>
      <c r="G117" s="2">
        <v>17.864668483197097</v>
      </c>
      <c r="H117" s="74">
        <v>40</v>
      </c>
      <c r="I117" s="74">
        <v>1</v>
      </c>
      <c r="J117" s="59">
        <f>365/7*20</f>
        <v>1042.8571428571429</v>
      </c>
      <c r="K117" s="2">
        <f t="shared" si="3"/>
        <v>1.7130504024983517E-2</v>
      </c>
      <c r="L117" s="74" t="s">
        <v>293</v>
      </c>
      <c r="M117" s="98" t="s">
        <v>294</v>
      </c>
    </row>
    <row r="118" spans="1:14" ht="67.5" x14ac:dyDescent="0.25">
      <c r="A118" s="33" t="s">
        <v>69</v>
      </c>
      <c r="B118" s="33">
        <v>5.6</v>
      </c>
      <c r="C118" s="28" t="s">
        <v>67</v>
      </c>
      <c r="D118" s="74" t="s">
        <v>291</v>
      </c>
      <c r="E118" s="74" t="s">
        <v>156</v>
      </c>
      <c r="F118" s="4" t="s">
        <v>27</v>
      </c>
      <c r="G118" s="4">
        <v>4.0659574468085111</v>
      </c>
      <c r="H118" s="74">
        <v>1</v>
      </c>
      <c r="I118" s="74">
        <v>1</v>
      </c>
      <c r="J118" s="59">
        <f>365/7*5</f>
        <v>260.71428571428572</v>
      </c>
      <c r="K118" s="2">
        <f t="shared" si="3"/>
        <v>1.5595453220635385E-2</v>
      </c>
      <c r="L118" s="101" t="s">
        <v>295</v>
      </c>
      <c r="M118" s="1" t="s">
        <v>296</v>
      </c>
    </row>
    <row r="119" spans="1:14" ht="22.5" x14ac:dyDescent="0.25">
      <c r="A119" s="33" t="s">
        <v>69</v>
      </c>
      <c r="B119" s="33">
        <v>5.6</v>
      </c>
      <c r="C119" s="28" t="s">
        <v>67</v>
      </c>
      <c r="D119" s="74" t="s">
        <v>291</v>
      </c>
      <c r="E119" s="74" t="s">
        <v>297</v>
      </c>
      <c r="F119" s="4" t="s">
        <v>27</v>
      </c>
      <c r="G119" s="4">
        <v>2.5412234042553195</v>
      </c>
      <c r="H119" s="74">
        <v>1</v>
      </c>
      <c r="I119" s="74">
        <v>1</v>
      </c>
      <c r="J119" s="59">
        <f>365/7*5</f>
        <v>260.71428571428572</v>
      </c>
      <c r="K119" s="2">
        <f t="shared" si="3"/>
        <v>9.7471582628971161E-3</v>
      </c>
      <c r="L119" s="74" t="s">
        <v>298</v>
      </c>
      <c r="M119" s="102" t="s">
        <v>299</v>
      </c>
    </row>
    <row r="120" spans="1:14" ht="22.5" x14ac:dyDescent="0.25">
      <c r="A120" s="33" t="s">
        <v>69</v>
      </c>
      <c r="B120" s="33">
        <v>5.5</v>
      </c>
      <c r="C120" s="28" t="s">
        <v>67</v>
      </c>
      <c r="D120" s="28" t="s">
        <v>157</v>
      </c>
      <c r="E120" s="28" t="s">
        <v>72</v>
      </c>
      <c r="F120" s="28" t="s">
        <v>50</v>
      </c>
      <c r="G120" s="2">
        <v>5</v>
      </c>
      <c r="H120" s="3">
        <v>1</v>
      </c>
      <c r="I120" s="82">
        <v>1</v>
      </c>
      <c r="J120" s="6">
        <f>365/7*5</f>
        <v>260.71428571428572</v>
      </c>
      <c r="K120" s="2">
        <f>G120*I120/J120</f>
        <v>1.9178082191780823E-2</v>
      </c>
      <c r="L120" s="28" t="s">
        <v>1265</v>
      </c>
      <c r="M120" s="84" t="s">
        <v>1160</v>
      </c>
    </row>
    <row r="121" spans="1:14" s="103" customFormat="1" ht="22.5" x14ac:dyDescent="0.2">
      <c r="A121" s="34" t="s">
        <v>69</v>
      </c>
      <c r="B121" s="34">
        <v>4.3</v>
      </c>
      <c r="C121" s="33" t="s">
        <v>67</v>
      </c>
      <c r="D121" s="14" t="s">
        <v>157</v>
      </c>
      <c r="E121" s="74" t="s">
        <v>1142</v>
      </c>
      <c r="F121" s="4"/>
      <c r="G121" s="50">
        <v>4000</v>
      </c>
      <c r="H121" s="74"/>
      <c r="I121" s="58">
        <v>1</v>
      </c>
      <c r="J121" s="4">
        <f>365/7*30</f>
        <v>1564.2857142857144</v>
      </c>
      <c r="K121" s="2">
        <f t="shared" si="3"/>
        <v>2.5570776255707761</v>
      </c>
      <c r="L121" s="77" t="s">
        <v>1143</v>
      </c>
      <c r="M121" s="74" t="s">
        <v>1144</v>
      </c>
      <c r="N121" s="42"/>
    </row>
    <row r="122" spans="1:14" s="103" customFormat="1" ht="22.5" x14ac:dyDescent="0.2">
      <c r="A122" s="33" t="s">
        <v>69</v>
      </c>
      <c r="B122" s="33">
        <v>5.0999999999999996</v>
      </c>
      <c r="C122" s="33" t="s">
        <v>67</v>
      </c>
      <c r="D122" s="60" t="s">
        <v>157</v>
      </c>
      <c r="E122" s="60" t="s">
        <v>1145</v>
      </c>
      <c r="F122" s="23"/>
      <c r="G122" s="2">
        <v>0</v>
      </c>
      <c r="H122" s="60"/>
      <c r="I122" s="89">
        <v>0</v>
      </c>
      <c r="J122" s="4">
        <v>0</v>
      </c>
      <c r="K122" s="2">
        <v>0</v>
      </c>
      <c r="L122" s="28"/>
      <c r="M122" s="14" t="s">
        <v>1146</v>
      </c>
      <c r="N122" s="42"/>
    </row>
    <row r="123" spans="1:14" ht="33.75" x14ac:dyDescent="0.25">
      <c r="A123" s="60" t="s">
        <v>69</v>
      </c>
      <c r="B123" s="42">
        <v>5.2</v>
      </c>
      <c r="C123" s="28" t="s">
        <v>67</v>
      </c>
      <c r="D123" s="91" t="s">
        <v>157</v>
      </c>
      <c r="E123" s="28" t="s">
        <v>89</v>
      </c>
      <c r="F123" s="28" t="s">
        <v>74</v>
      </c>
      <c r="G123" s="2">
        <v>14.885741265344665</v>
      </c>
      <c r="H123" s="3"/>
      <c r="I123" s="3">
        <v>1</v>
      </c>
      <c r="J123" s="6">
        <f>365/7*5</f>
        <v>260.71428571428572</v>
      </c>
      <c r="K123" s="2">
        <f t="shared" si="3"/>
        <v>5.7095993894472688E-2</v>
      </c>
      <c r="L123" s="28" t="s">
        <v>201</v>
      </c>
      <c r="M123" s="28" t="s">
        <v>90</v>
      </c>
    </row>
    <row r="124" spans="1:14" ht="33.75" x14ac:dyDescent="0.25">
      <c r="A124" s="74" t="s">
        <v>69</v>
      </c>
      <c r="B124" s="49">
        <v>5.0999999999999996</v>
      </c>
      <c r="C124" s="28" t="s">
        <v>67</v>
      </c>
      <c r="D124" s="28" t="s">
        <v>157</v>
      </c>
      <c r="E124" s="28" t="s">
        <v>158</v>
      </c>
      <c r="F124" s="60" t="s">
        <v>83</v>
      </c>
      <c r="G124" s="86">
        <v>21.682242990654203</v>
      </c>
      <c r="H124" s="60">
        <v>1</v>
      </c>
      <c r="I124" s="96">
        <v>1</v>
      </c>
      <c r="J124" s="89">
        <f>365/7*20</f>
        <v>1042.8571428571429</v>
      </c>
      <c r="K124" s="2">
        <f t="shared" si="3"/>
        <v>2.0791191908846495E-2</v>
      </c>
      <c r="L124" s="74" t="s">
        <v>414</v>
      </c>
      <c r="M124" s="74" t="s">
        <v>300</v>
      </c>
    </row>
    <row r="125" spans="1:14" ht="22.5" x14ac:dyDescent="0.25">
      <c r="A125" s="74" t="s">
        <v>69</v>
      </c>
      <c r="B125" s="49">
        <v>5.6</v>
      </c>
      <c r="C125" s="28" t="s">
        <v>67</v>
      </c>
      <c r="D125" s="28" t="s">
        <v>157</v>
      </c>
      <c r="E125" s="28" t="s">
        <v>164</v>
      </c>
      <c r="F125" s="60" t="s">
        <v>28</v>
      </c>
      <c r="G125" s="4">
        <v>0.84707446808510656</v>
      </c>
      <c r="H125" s="60">
        <v>1</v>
      </c>
      <c r="I125" s="60">
        <v>1</v>
      </c>
      <c r="J125" s="59">
        <f>365/7</f>
        <v>52.142857142857146</v>
      </c>
      <c r="K125" s="2">
        <f t="shared" si="3"/>
        <v>1.6245263771495193E-2</v>
      </c>
      <c r="L125" s="74" t="s">
        <v>415</v>
      </c>
      <c r="M125" s="60" t="s">
        <v>165</v>
      </c>
    </row>
    <row r="126" spans="1:14" ht="22.5" x14ac:dyDescent="0.25">
      <c r="A126" s="74" t="s">
        <v>69</v>
      </c>
      <c r="B126" s="49">
        <v>5.2</v>
      </c>
      <c r="C126" s="28" t="s">
        <v>67</v>
      </c>
      <c r="D126" s="28" t="s">
        <v>157</v>
      </c>
      <c r="E126" s="28" t="s">
        <v>301</v>
      </c>
      <c r="F126" s="74" t="s">
        <v>79</v>
      </c>
      <c r="G126" s="2">
        <v>18.075542965061377</v>
      </c>
      <c r="H126" s="74">
        <v>1</v>
      </c>
      <c r="I126" s="74">
        <v>4</v>
      </c>
      <c r="J126" s="59">
        <f>365/7*5</f>
        <v>260.71428571428572</v>
      </c>
      <c r="K126" s="2">
        <f t="shared" si="3"/>
        <v>0.27732339891601016</v>
      </c>
      <c r="L126" s="74" t="s">
        <v>961</v>
      </c>
      <c r="M126" s="74" t="s">
        <v>302</v>
      </c>
    </row>
    <row r="127" spans="1:14" ht="22.5" x14ac:dyDescent="0.25">
      <c r="A127" s="33" t="s">
        <v>69</v>
      </c>
      <c r="B127" s="33">
        <v>5.2</v>
      </c>
      <c r="C127" s="28" t="s">
        <v>67</v>
      </c>
      <c r="D127" s="28" t="s">
        <v>157</v>
      </c>
      <c r="E127" s="28" t="s">
        <v>147</v>
      </c>
      <c r="F127" s="74" t="s">
        <v>79</v>
      </c>
      <c r="G127" s="2">
        <v>5.3163361661945228</v>
      </c>
      <c r="H127" s="74">
        <v>1</v>
      </c>
      <c r="I127" s="74">
        <v>4</v>
      </c>
      <c r="J127" s="59">
        <f>365/7*5</f>
        <v>260.71428571428572</v>
      </c>
      <c r="K127" s="2">
        <f t="shared" si="3"/>
        <v>8.1565705563532404E-2</v>
      </c>
      <c r="L127" s="74" t="s">
        <v>961</v>
      </c>
      <c r="M127" s="74" t="s">
        <v>303</v>
      </c>
    </row>
    <row r="128" spans="1:14" ht="22.5" x14ac:dyDescent="0.25">
      <c r="A128" s="74" t="s">
        <v>69</v>
      </c>
      <c r="B128" s="49">
        <v>5.2</v>
      </c>
      <c r="C128" s="28" t="s">
        <v>67</v>
      </c>
      <c r="D128" s="28" t="s">
        <v>157</v>
      </c>
      <c r="E128" s="28" t="s">
        <v>159</v>
      </c>
      <c r="F128" s="74" t="s">
        <v>79</v>
      </c>
      <c r="G128" s="2">
        <v>1.2759206798866856</v>
      </c>
      <c r="H128" s="74">
        <v>1</v>
      </c>
      <c r="I128" s="74">
        <v>4</v>
      </c>
      <c r="J128" s="59">
        <f>365/7*5</f>
        <v>260.71428571428572</v>
      </c>
      <c r="K128" s="2">
        <f t="shared" si="3"/>
        <v>1.9575769335247777E-2</v>
      </c>
      <c r="L128" s="74" t="s">
        <v>961</v>
      </c>
      <c r="M128" s="74" t="s">
        <v>304</v>
      </c>
    </row>
    <row r="129" spans="1:13" ht="22.5" x14ac:dyDescent="0.25">
      <c r="A129" s="33" t="s">
        <v>69</v>
      </c>
      <c r="B129" s="33">
        <v>5.2</v>
      </c>
      <c r="C129" s="28" t="s">
        <v>67</v>
      </c>
      <c r="D129" s="28" t="s">
        <v>157</v>
      </c>
      <c r="E129" s="28" t="s">
        <v>160</v>
      </c>
      <c r="F129" s="74" t="s">
        <v>50</v>
      </c>
      <c r="G129" s="2">
        <v>5.3163361661945228</v>
      </c>
      <c r="H129" s="74">
        <v>1</v>
      </c>
      <c r="I129" s="58">
        <v>1</v>
      </c>
      <c r="J129" s="59">
        <f>365/7*5</f>
        <v>260.71428571428572</v>
      </c>
      <c r="K129" s="2">
        <f t="shared" si="3"/>
        <v>2.0391426390883101E-2</v>
      </c>
      <c r="L129" s="74" t="s">
        <v>416</v>
      </c>
      <c r="M129" s="28" t="s">
        <v>305</v>
      </c>
    </row>
    <row r="130" spans="1:13" ht="33.75" x14ac:dyDescent="0.25">
      <c r="A130" s="33" t="s">
        <v>69</v>
      </c>
      <c r="B130" s="33">
        <v>5.2</v>
      </c>
      <c r="C130" s="28" t="s">
        <v>67</v>
      </c>
      <c r="D130" s="28" t="s">
        <v>157</v>
      </c>
      <c r="E130" s="28" t="s">
        <v>306</v>
      </c>
      <c r="F130" s="74" t="s">
        <v>50</v>
      </c>
      <c r="G130" s="2">
        <v>4.2530689329556184</v>
      </c>
      <c r="H130" s="74">
        <v>1</v>
      </c>
      <c r="I130" s="74">
        <v>1</v>
      </c>
      <c r="J130" s="59">
        <f>365/7*2</f>
        <v>104.28571428571429</v>
      </c>
      <c r="K130" s="2">
        <f t="shared" si="3"/>
        <v>4.0782852781766202E-2</v>
      </c>
      <c r="L130" s="74" t="s">
        <v>417</v>
      </c>
      <c r="M130" s="74" t="s">
        <v>307</v>
      </c>
    </row>
    <row r="131" spans="1:13" ht="33.75" x14ac:dyDescent="0.25">
      <c r="A131" s="33" t="s">
        <v>69</v>
      </c>
      <c r="B131" s="33">
        <v>5.4</v>
      </c>
      <c r="C131" s="28" t="s">
        <v>67</v>
      </c>
      <c r="D131" s="74" t="s">
        <v>157</v>
      </c>
      <c r="E131" s="74" t="s">
        <v>308</v>
      </c>
      <c r="F131" s="4" t="s">
        <v>74</v>
      </c>
      <c r="G131" s="4">
        <v>6.1652892561983474</v>
      </c>
      <c r="H131" s="74">
        <v>1</v>
      </c>
      <c r="I131" s="58">
        <v>1</v>
      </c>
      <c r="J131" s="59">
        <f>365/7*10</f>
        <v>521.42857142857144</v>
      </c>
      <c r="K131" s="2">
        <f t="shared" si="3"/>
        <v>1.1823842409147516E-2</v>
      </c>
      <c r="L131" s="74" t="s">
        <v>309</v>
      </c>
      <c r="M131" s="28" t="s">
        <v>310</v>
      </c>
    </row>
    <row r="132" spans="1:13" ht="45" x14ac:dyDescent="0.25">
      <c r="A132" s="74" t="s">
        <v>69</v>
      </c>
      <c r="B132" s="49">
        <v>5.2</v>
      </c>
      <c r="C132" s="28" t="s">
        <v>67</v>
      </c>
      <c r="D132" s="28" t="s">
        <v>157</v>
      </c>
      <c r="E132" s="28" t="s">
        <v>161</v>
      </c>
      <c r="F132" s="74" t="s">
        <v>74</v>
      </c>
      <c r="G132" s="4">
        <v>6.379603399433428</v>
      </c>
      <c r="H132" s="74">
        <v>1</v>
      </c>
      <c r="I132" s="92">
        <v>2</v>
      </c>
      <c r="J132" s="59">
        <f>365/7*4</f>
        <v>208.57142857142858</v>
      </c>
      <c r="K132" s="2">
        <f t="shared" si="3"/>
        <v>6.117427917264931E-2</v>
      </c>
      <c r="L132" s="74" t="s">
        <v>418</v>
      </c>
      <c r="M132" s="28" t="s">
        <v>162</v>
      </c>
    </row>
    <row r="133" spans="1:13" ht="56.25" x14ac:dyDescent="0.25">
      <c r="A133" s="74" t="s">
        <v>69</v>
      </c>
      <c r="B133" s="49">
        <v>5.0999999999999996</v>
      </c>
      <c r="C133" s="28" t="s">
        <v>67</v>
      </c>
      <c r="D133" s="28" t="s">
        <v>157</v>
      </c>
      <c r="E133" s="14" t="s">
        <v>311</v>
      </c>
      <c r="F133" s="77" t="s">
        <v>74</v>
      </c>
      <c r="G133" s="86">
        <v>10.841121495327101</v>
      </c>
      <c r="H133" s="77">
        <v>1</v>
      </c>
      <c r="I133" s="3">
        <v>1</v>
      </c>
      <c r="J133" s="6">
        <f>365/7*5</f>
        <v>260.71428571428572</v>
      </c>
      <c r="K133" s="2">
        <f t="shared" si="3"/>
        <v>4.158238381769299E-2</v>
      </c>
      <c r="L133" s="1" t="s">
        <v>419</v>
      </c>
      <c r="M133" s="28" t="s">
        <v>312</v>
      </c>
    </row>
    <row r="134" spans="1:13" ht="56.25" x14ac:dyDescent="0.25">
      <c r="A134" s="74" t="s">
        <v>69</v>
      </c>
      <c r="B134" s="49">
        <v>12.1</v>
      </c>
      <c r="C134" s="28" t="s">
        <v>67</v>
      </c>
      <c r="D134" s="28" t="s">
        <v>157</v>
      </c>
      <c r="E134" s="14" t="s">
        <v>122</v>
      </c>
      <c r="F134" s="77" t="s">
        <v>50</v>
      </c>
      <c r="G134" s="2">
        <v>13.18888888888889</v>
      </c>
      <c r="H134" s="77">
        <v>1</v>
      </c>
      <c r="I134" s="3">
        <v>1</v>
      </c>
      <c r="J134" s="6">
        <f>365/7*20</f>
        <v>1042.8571428571429</v>
      </c>
      <c r="K134" s="2">
        <f t="shared" si="3"/>
        <v>1.2646879756468799E-2</v>
      </c>
      <c r="L134" s="1" t="s">
        <v>420</v>
      </c>
      <c r="M134" s="104" t="s">
        <v>167</v>
      </c>
    </row>
    <row r="135" spans="1:13" ht="22.5" x14ac:dyDescent="0.25">
      <c r="A135" s="74" t="s">
        <v>69</v>
      </c>
      <c r="B135" s="49">
        <v>5.6</v>
      </c>
      <c r="C135" s="28" t="s">
        <v>67</v>
      </c>
      <c r="D135" s="28" t="s">
        <v>157</v>
      </c>
      <c r="E135" s="28" t="s">
        <v>166</v>
      </c>
      <c r="F135" s="77" t="s">
        <v>27</v>
      </c>
      <c r="G135" s="4">
        <v>1.3553191489361704</v>
      </c>
      <c r="H135" s="77">
        <v>1</v>
      </c>
      <c r="I135" s="3">
        <v>1</v>
      </c>
      <c r="J135" s="6">
        <f>365/7</f>
        <v>52.142857142857146</v>
      </c>
      <c r="K135" s="2">
        <f t="shared" si="3"/>
        <v>2.599242203439231E-2</v>
      </c>
      <c r="L135" s="1" t="s">
        <v>421</v>
      </c>
      <c r="M135" s="28" t="s">
        <v>313</v>
      </c>
    </row>
    <row r="136" spans="1:13" ht="22.5" x14ac:dyDescent="0.25">
      <c r="A136" s="74" t="s">
        <v>69</v>
      </c>
      <c r="B136" s="49">
        <v>5.6</v>
      </c>
      <c r="C136" s="28" t="s">
        <v>67</v>
      </c>
      <c r="D136" s="28" t="s">
        <v>157</v>
      </c>
      <c r="E136" s="60" t="s">
        <v>163</v>
      </c>
      <c r="F136" s="77" t="s">
        <v>28</v>
      </c>
      <c r="G136" s="4">
        <v>0.50824468085106389</v>
      </c>
      <c r="H136" s="60">
        <v>1</v>
      </c>
      <c r="I136" s="96">
        <v>1</v>
      </c>
      <c r="J136" s="89">
        <f>365/84</f>
        <v>4.3452380952380949</v>
      </c>
      <c r="K136" s="2">
        <f t="shared" si="3"/>
        <v>0.11696589915476539</v>
      </c>
      <c r="L136" s="74" t="s">
        <v>422</v>
      </c>
      <c r="M136" s="28" t="s">
        <v>314</v>
      </c>
    </row>
    <row r="137" spans="1:13" ht="22.5" x14ac:dyDescent="0.25">
      <c r="A137" s="33" t="s">
        <v>69</v>
      </c>
      <c r="B137" s="33">
        <v>5.6</v>
      </c>
      <c r="C137" s="28" t="s">
        <v>67</v>
      </c>
      <c r="D137" s="28" t="s">
        <v>157</v>
      </c>
      <c r="E137" s="74" t="s">
        <v>155</v>
      </c>
      <c r="F137" s="4" t="s">
        <v>28</v>
      </c>
      <c r="G137" s="4">
        <v>1.0729609929078014</v>
      </c>
      <c r="H137" s="74">
        <v>1</v>
      </c>
      <c r="I137" s="74">
        <v>1</v>
      </c>
      <c r="J137" s="59">
        <v>2</v>
      </c>
      <c r="K137" s="2">
        <f t="shared" si="3"/>
        <v>0.53648049645390072</v>
      </c>
      <c r="L137" s="60" t="s">
        <v>423</v>
      </c>
      <c r="M137" s="94" t="s">
        <v>285</v>
      </c>
    </row>
    <row r="138" spans="1:13" ht="33.75" x14ac:dyDescent="0.25">
      <c r="A138" s="33" t="s">
        <v>69</v>
      </c>
      <c r="B138" s="33">
        <v>5.6</v>
      </c>
      <c r="C138" s="28" t="s">
        <v>67</v>
      </c>
      <c r="D138" s="28" t="s">
        <v>157</v>
      </c>
      <c r="E138" s="28" t="s">
        <v>315</v>
      </c>
      <c r="F138" s="77" t="s">
        <v>28</v>
      </c>
      <c r="G138" s="4">
        <v>1.0164893617021278</v>
      </c>
      <c r="H138" s="60">
        <v>1</v>
      </c>
      <c r="I138" s="96">
        <v>1</v>
      </c>
      <c r="J138" s="89">
        <f>365/84*2</f>
        <v>8.6904761904761898</v>
      </c>
      <c r="K138" s="2">
        <f t="shared" si="3"/>
        <v>0.11696589915476539</v>
      </c>
      <c r="L138" s="74" t="s">
        <v>424</v>
      </c>
      <c r="M138" s="28" t="s">
        <v>316</v>
      </c>
    </row>
    <row r="139" spans="1:13" ht="45" x14ac:dyDescent="0.25">
      <c r="A139" s="74" t="s">
        <v>69</v>
      </c>
      <c r="B139" s="49">
        <v>5.4</v>
      </c>
      <c r="C139" s="28" t="s">
        <v>67</v>
      </c>
      <c r="D139" s="28" t="s">
        <v>157</v>
      </c>
      <c r="E139" s="28" t="s">
        <v>82</v>
      </c>
      <c r="F139" s="74" t="s">
        <v>27</v>
      </c>
      <c r="G139" s="4">
        <v>5.6515151515151523</v>
      </c>
      <c r="H139" s="74">
        <v>1</v>
      </c>
      <c r="I139" s="58">
        <v>1</v>
      </c>
      <c r="J139" s="59">
        <f>365/7*5</f>
        <v>260.71428571428572</v>
      </c>
      <c r="K139" s="2">
        <f t="shared" si="3"/>
        <v>2.1677044416770447E-2</v>
      </c>
      <c r="L139" s="74" t="s">
        <v>317</v>
      </c>
      <c r="M139" s="99" t="s">
        <v>318</v>
      </c>
    </row>
    <row r="140" spans="1:13" ht="22.5" x14ac:dyDescent="0.25">
      <c r="A140" s="74" t="s">
        <v>69</v>
      </c>
      <c r="B140" s="49">
        <v>5.6</v>
      </c>
      <c r="C140" s="28" t="s">
        <v>67</v>
      </c>
      <c r="D140" s="28" t="s">
        <v>157</v>
      </c>
      <c r="E140" s="28" t="s">
        <v>126</v>
      </c>
      <c r="F140" s="74" t="s">
        <v>27</v>
      </c>
      <c r="G140" s="4">
        <v>1.1294326241134753</v>
      </c>
      <c r="H140" s="74">
        <v>50</v>
      </c>
      <c r="I140" s="58">
        <v>1</v>
      </c>
      <c r="J140" s="59">
        <v>50</v>
      </c>
      <c r="K140" s="2">
        <f t="shared" si="3"/>
        <v>2.2588652482269506E-2</v>
      </c>
      <c r="L140" s="74" t="s">
        <v>319</v>
      </c>
      <c r="M140" s="28" t="s">
        <v>320</v>
      </c>
    </row>
    <row r="141" spans="1:13" x14ac:dyDescent="0.25">
      <c r="A141" s="33" t="s">
        <v>69</v>
      </c>
      <c r="B141" s="33">
        <v>5.2</v>
      </c>
      <c r="C141" s="28" t="s">
        <v>67</v>
      </c>
      <c r="D141" s="28" t="s">
        <v>425</v>
      </c>
      <c r="E141" s="28" t="s">
        <v>78</v>
      </c>
      <c r="F141" s="33"/>
      <c r="G141" s="2">
        <v>90</v>
      </c>
      <c r="H141" s="3">
        <v>1</v>
      </c>
      <c r="I141" s="3">
        <v>1</v>
      </c>
      <c r="J141" s="6">
        <f>365/7*10</f>
        <v>521.42857142857144</v>
      </c>
      <c r="K141" s="2">
        <f t="shared" si="3"/>
        <v>0.17260273972602738</v>
      </c>
      <c r="L141" s="28"/>
      <c r="M141" s="28" t="s">
        <v>1162</v>
      </c>
    </row>
    <row r="142" spans="1:13" ht="22.5" x14ac:dyDescent="0.25">
      <c r="A142" s="60" t="s">
        <v>69</v>
      </c>
      <c r="B142" s="42">
        <v>5.0999999999999996</v>
      </c>
      <c r="C142" s="28" t="s">
        <v>67</v>
      </c>
      <c r="D142" s="28" t="s">
        <v>425</v>
      </c>
      <c r="E142" s="28" t="s">
        <v>71</v>
      </c>
      <c r="F142" s="28"/>
      <c r="G142" s="2">
        <v>45</v>
      </c>
      <c r="H142" s="3">
        <v>1</v>
      </c>
      <c r="I142" s="82">
        <v>1</v>
      </c>
      <c r="J142" s="6">
        <f>365/7*10</f>
        <v>521.42857142857144</v>
      </c>
      <c r="K142" s="2">
        <f>G142*I142/J142</f>
        <v>8.6301369863013691E-2</v>
      </c>
      <c r="L142" s="28"/>
      <c r="M142" s="74" t="s">
        <v>1159</v>
      </c>
    </row>
    <row r="143" spans="1:13" ht="22.5" x14ac:dyDescent="0.25">
      <c r="A143" s="33" t="s">
        <v>69</v>
      </c>
      <c r="B143" s="33">
        <v>5.5</v>
      </c>
      <c r="C143" s="28" t="s">
        <v>67</v>
      </c>
      <c r="D143" s="28" t="s">
        <v>425</v>
      </c>
      <c r="E143" s="28" t="s">
        <v>72</v>
      </c>
      <c r="F143" s="28" t="s">
        <v>50</v>
      </c>
      <c r="G143" s="2">
        <v>5</v>
      </c>
      <c r="H143" s="3">
        <v>1</v>
      </c>
      <c r="I143" s="82">
        <v>1</v>
      </c>
      <c r="J143" s="6">
        <f>365/7*5</f>
        <v>260.71428571428572</v>
      </c>
      <c r="K143" s="2">
        <f>G143*I143/J143</f>
        <v>1.9178082191780823E-2</v>
      </c>
      <c r="L143" s="28" t="s">
        <v>1265</v>
      </c>
      <c r="M143" s="84" t="s">
        <v>1160</v>
      </c>
    </row>
    <row r="144" spans="1:13" ht="45" x14ac:dyDescent="0.25">
      <c r="A144" s="33" t="s">
        <v>69</v>
      </c>
      <c r="B144" s="33">
        <v>5.0999999999999996</v>
      </c>
      <c r="C144" s="28" t="s">
        <v>67</v>
      </c>
      <c r="D144" s="74" t="s">
        <v>425</v>
      </c>
      <c r="E144" s="74" t="s">
        <v>168</v>
      </c>
      <c r="F144" s="74" t="s">
        <v>170</v>
      </c>
      <c r="G144" s="86">
        <v>325.23364485981307</v>
      </c>
      <c r="H144" s="74"/>
      <c r="I144" s="74">
        <v>1</v>
      </c>
      <c r="J144" s="6">
        <f>365/7*20</f>
        <v>1042.8571428571429</v>
      </c>
      <c r="K144" s="2">
        <f t="shared" ref="K144:K175" si="4">G144*I144/J144</f>
        <v>0.31186787863269744</v>
      </c>
      <c r="L144" s="74" t="s">
        <v>426</v>
      </c>
      <c r="M144" s="74" t="s">
        <v>321</v>
      </c>
    </row>
    <row r="145" spans="1:13" ht="45" x14ac:dyDescent="0.25">
      <c r="A145" s="33" t="s">
        <v>69</v>
      </c>
      <c r="B145" s="33">
        <v>5.0999999999999996</v>
      </c>
      <c r="C145" s="28" t="s">
        <v>67</v>
      </c>
      <c r="D145" s="74" t="s">
        <v>425</v>
      </c>
      <c r="E145" s="60" t="s">
        <v>322</v>
      </c>
      <c r="F145" s="28" t="s">
        <v>170</v>
      </c>
      <c r="G145" s="86">
        <v>161.53271028037381</v>
      </c>
      <c r="H145" s="60">
        <v>1</v>
      </c>
      <c r="I145" s="96">
        <v>1</v>
      </c>
      <c r="J145" s="89">
        <f>365/7*20</f>
        <v>1042.8571428571429</v>
      </c>
      <c r="K145" s="2">
        <f t="shared" si="4"/>
        <v>0.15489437972090639</v>
      </c>
      <c r="L145" s="74" t="s">
        <v>426</v>
      </c>
      <c r="M145" s="28" t="s">
        <v>323</v>
      </c>
    </row>
    <row r="146" spans="1:13" ht="78.75" x14ac:dyDescent="0.25">
      <c r="A146" s="33" t="s">
        <v>69</v>
      </c>
      <c r="B146" s="33">
        <v>5.0999999999999996</v>
      </c>
      <c r="C146" s="28" t="s">
        <v>67</v>
      </c>
      <c r="D146" s="74" t="s">
        <v>425</v>
      </c>
      <c r="E146" s="60" t="s">
        <v>169</v>
      </c>
      <c r="F146" s="28" t="s">
        <v>170</v>
      </c>
      <c r="G146" s="86">
        <v>649.38317757009338</v>
      </c>
      <c r="H146" s="60">
        <v>1</v>
      </c>
      <c r="I146" s="96">
        <v>1</v>
      </c>
      <c r="J146" s="89">
        <f>365/7*8</f>
        <v>417.14285714285717</v>
      </c>
      <c r="K146" s="2">
        <f t="shared" si="4"/>
        <v>1.5567404941748813</v>
      </c>
      <c r="L146" s="74" t="s">
        <v>427</v>
      </c>
      <c r="M146" s="28" t="s">
        <v>324</v>
      </c>
    </row>
    <row r="147" spans="1:13" ht="33.75" x14ac:dyDescent="0.25">
      <c r="A147" s="33" t="s">
        <v>69</v>
      </c>
      <c r="B147" s="33">
        <v>5.0999999999999996</v>
      </c>
      <c r="C147" s="28" t="s">
        <v>67</v>
      </c>
      <c r="D147" s="74" t="s">
        <v>425</v>
      </c>
      <c r="E147" s="60" t="s">
        <v>172</v>
      </c>
      <c r="F147" s="28" t="s">
        <v>74</v>
      </c>
      <c r="G147" s="4">
        <v>325</v>
      </c>
      <c r="H147" s="60">
        <v>1</v>
      </c>
      <c r="I147" s="96">
        <v>2</v>
      </c>
      <c r="J147" s="89">
        <f>365/7*20</f>
        <v>1042.8571428571429</v>
      </c>
      <c r="K147" s="2">
        <f t="shared" si="4"/>
        <v>0.62328767123287665</v>
      </c>
      <c r="L147" s="74" t="s">
        <v>1219</v>
      </c>
      <c r="M147" s="28" t="s">
        <v>325</v>
      </c>
    </row>
    <row r="148" spans="1:13" ht="33.75" x14ac:dyDescent="0.25">
      <c r="A148" s="33" t="s">
        <v>69</v>
      </c>
      <c r="B148" s="33">
        <v>5.0999999999999996</v>
      </c>
      <c r="C148" s="28" t="s">
        <v>67</v>
      </c>
      <c r="D148" s="74" t="s">
        <v>425</v>
      </c>
      <c r="E148" s="60" t="s">
        <v>173</v>
      </c>
      <c r="F148" s="28" t="s">
        <v>74</v>
      </c>
      <c r="G148" s="86">
        <v>260.18691588785043</v>
      </c>
      <c r="H148" s="60">
        <v>1</v>
      </c>
      <c r="I148" s="96">
        <v>1</v>
      </c>
      <c r="J148" s="89">
        <f>365/7*20</f>
        <v>1042.8571428571429</v>
      </c>
      <c r="K148" s="2">
        <f t="shared" si="4"/>
        <v>0.24949430290615793</v>
      </c>
      <c r="L148" s="74" t="s">
        <v>428</v>
      </c>
      <c r="M148" s="28" t="s">
        <v>326</v>
      </c>
    </row>
    <row r="149" spans="1:13" ht="33.75" x14ac:dyDescent="0.25">
      <c r="A149" s="33" t="s">
        <v>69</v>
      </c>
      <c r="B149" s="33">
        <v>5.0999999999999996</v>
      </c>
      <c r="C149" s="28" t="s">
        <v>67</v>
      </c>
      <c r="D149" s="74" t="s">
        <v>425</v>
      </c>
      <c r="E149" s="60" t="s">
        <v>174</v>
      </c>
      <c r="F149" s="28" t="s">
        <v>74</v>
      </c>
      <c r="G149" s="86">
        <v>140.93457943925233</v>
      </c>
      <c r="H149" s="60">
        <v>1</v>
      </c>
      <c r="I149" s="96">
        <v>2</v>
      </c>
      <c r="J149" s="89">
        <f>365/7*20</f>
        <v>1042.8571428571429</v>
      </c>
      <c r="K149" s="2">
        <f t="shared" si="4"/>
        <v>0.27028549481500447</v>
      </c>
      <c r="L149" s="74" t="s">
        <v>429</v>
      </c>
      <c r="M149" s="28" t="s">
        <v>327</v>
      </c>
    </row>
    <row r="150" spans="1:13" ht="45" x14ac:dyDescent="0.25">
      <c r="A150" s="33" t="s">
        <v>69</v>
      </c>
      <c r="B150" s="33">
        <v>5.0999999999999996</v>
      </c>
      <c r="C150" s="28" t="s">
        <v>67</v>
      </c>
      <c r="D150" s="74" t="s">
        <v>425</v>
      </c>
      <c r="E150" s="74" t="s">
        <v>328</v>
      </c>
      <c r="F150" s="74" t="s">
        <v>79</v>
      </c>
      <c r="G150" s="86">
        <v>10.841121495327101</v>
      </c>
      <c r="H150" s="74">
        <v>1</v>
      </c>
      <c r="I150" s="58">
        <v>1</v>
      </c>
      <c r="J150" s="59">
        <f>365/7*20</f>
        <v>1042.8571428571429</v>
      </c>
      <c r="K150" s="2">
        <f t="shared" si="4"/>
        <v>1.0395595954423248E-2</v>
      </c>
      <c r="L150" s="74" t="s">
        <v>430</v>
      </c>
      <c r="M150" s="28" t="s">
        <v>329</v>
      </c>
    </row>
    <row r="151" spans="1:13" ht="45" x14ac:dyDescent="0.25">
      <c r="A151" s="33" t="s">
        <v>69</v>
      </c>
      <c r="B151" s="33">
        <v>5.0999999999999996</v>
      </c>
      <c r="C151" s="28" t="s">
        <v>67</v>
      </c>
      <c r="D151" s="74" t="s">
        <v>425</v>
      </c>
      <c r="E151" s="60" t="s">
        <v>175</v>
      </c>
      <c r="F151" s="60" t="s">
        <v>27</v>
      </c>
      <c r="G151" s="86">
        <v>10.841121495327101</v>
      </c>
      <c r="H151" s="60">
        <v>1</v>
      </c>
      <c r="I151" s="96">
        <v>2</v>
      </c>
      <c r="J151" s="89">
        <f>365/7*10</f>
        <v>521.42857142857144</v>
      </c>
      <c r="K151" s="2">
        <f t="shared" si="4"/>
        <v>4.158238381769299E-2</v>
      </c>
      <c r="L151" s="74" t="s">
        <v>431</v>
      </c>
      <c r="M151" s="28" t="s">
        <v>330</v>
      </c>
    </row>
    <row r="152" spans="1:13" ht="33.75" x14ac:dyDescent="0.25">
      <c r="A152" s="33" t="s">
        <v>69</v>
      </c>
      <c r="B152" s="33">
        <v>5.0999999999999996</v>
      </c>
      <c r="C152" s="28" t="s">
        <v>67</v>
      </c>
      <c r="D152" s="74" t="s">
        <v>425</v>
      </c>
      <c r="E152" s="105" t="s">
        <v>331</v>
      </c>
      <c r="F152" s="28" t="s">
        <v>79</v>
      </c>
      <c r="G152" s="86">
        <v>74.803738317757009</v>
      </c>
      <c r="H152" s="60">
        <v>1</v>
      </c>
      <c r="I152" s="96">
        <v>1</v>
      </c>
      <c r="J152" s="89">
        <f>365/7*20</f>
        <v>1042.8571428571429</v>
      </c>
      <c r="K152" s="2">
        <f t="shared" si="4"/>
        <v>7.1729612085520422E-2</v>
      </c>
      <c r="L152" s="74" t="s">
        <v>432</v>
      </c>
      <c r="M152" s="28" t="s">
        <v>332</v>
      </c>
    </row>
    <row r="153" spans="1:13" ht="33.75" x14ac:dyDescent="0.25">
      <c r="A153" s="33" t="s">
        <v>69</v>
      </c>
      <c r="B153" s="33">
        <v>5.2</v>
      </c>
      <c r="C153" s="28" t="s">
        <v>67</v>
      </c>
      <c r="D153" s="74" t="s">
        <v>425</v>
      </c>
      <c r="E153" s="60" t="s">
        <v>176</v>
      </c>
      <c r="F153" s="74" t="s">
        <v>50</v>
      </c>
      <c r="G153" s="50">
        <v>25</v>
      </c>
      <c r="H153" s="74">
        <v>1</v>
      </c>
      <c r="I153" s="58">
        <v>1</v>
      </c>
      <c r="J153" s="89">
        <f t="shared" ref="J153:J160" si="5">365/7*3</f>
        <v>156.42857142857144</v>
      </c>
      <c r="K153" s="2">
        <f t="shared" si="4"/>
        <v>0.15981735159817351</v>
      </c>
      <c r="L153" s="74" t="s">
        <v>1220</v>
      </c>
      <c r="M153" s="28" t="s">
        <v>333</v>
      </c>
    </row>
    <row r="154" spans="1:13" ht="33.75" x14ac:dyDescent="0.25">
      <c r="A154" s="33" t="s">
        <v>69</v>
      </c>
      <c r="B154" s="33">
        <v>5.2</v>
      </c>
      <c r="C154" s="28" t="s">
        <v>67</v>
      </c>
      <c r="D154" s="74" t="s">
        <v>425</v>
      </c>
      <c r="E154" s="60" t="s">
        <v>177</v>
      </c>
      <c r="F154" s="74" t="s">
        <v>79</v>
      </c>
      <c r="G154" s="50">
        <v>35</v>
      </c>
      <c r="H154" s="74">
        <v>2</v>
      </c>
      <c r="I154" s="58">
        <v>2</v>
      </c>
      <c r="J154" s="89">
        <f t="shared" si="5"/>
        <v>156.42857142857144</v>
      </c>
      <c r="K154" s="2">
        <f t="shared" si="4"/>
        <v>0.44748858447488582</v>
      </c>
      <c r="L154" s="74" t="s">
        <v>1221</v>
      </c>
      <c r="M154" s="28" t="s">
        <v>336</v>
      </c>
    </row>
    <row r="155" spans="1:13" ht="56.25" x14ac:dyDescent="0.25">
      <c r="A155" s="33" t="s">
        <v>69</v>
      </c>
      <c r="B155" s="33">
        <v>5.2</v>
      </c>
      <c r="C155" s="28" t="s">
        <v>67</v>
      </c>
      <c r="D155" s="74" t="s">
        <v>425</v>
      </c>
      <c r="E155" s="60" t="s">
        <v>178</v>
      </c>
      <c r="F155" s="74" t="s">
        <v>50</v>
      </c>
      <c r="G155" s="86">
        <v>8</v>
      </c>
      <c r="H155" s="60">
        <v>1</v>
      </c>
      <c r="I155" s="96">
        <v>3</v>
      </c>
      <c r="J155" s="89">
        <f t="shared" si="5"/>
        <v>156.42857142857144</v>
      </c>
      <c r="K155" s="2">
        <f t="shared" si="4"/>
        <v>0.15342465753424656</v>
      </c>
      <c r="L155" s="74" t="s">
        <v>1222</v>
      </c>
      <c r="M155" s="28" t="s">
        <v>337</v>
      </c>
    </row>
    <row r="156" spans="1:13" ht="56.25" x14ac:dyDescent="0.25">
      <c r="A156" s="33" t="s">
        <v>69</v>
      </c>
      <c r="B156" s="33">
        <v>5.2</v>
      </c>
      <c r="C156" s="28" t="s">
        <v>67</v>
      </c>
      <c r="D156" s="74" t="s">
        <v>425</v>
      </c>
      <c r="E156" s="60" t="s">
        <v>338</v>
      </c>
      <c r="F156" s="74" t="s">
        <v>50</v>
      </c>
      <c r="G156" s="86">
        <v>11.5</v>
      </c>
      <c r="H156" s="60">
        <v>1</v>
      </c>
      <c r="I156" s="96">
        <v>3</v>
      </c>
      <c r="J156" s="89">
        <f t="shared" si="5"/>
        <v>156.42857142857144</v>
      </c>
      <c r="K156" s="2">
        <f t="shared" si="4"/>
        <v>0.22054794520547943</v>
      </c>
      <c r="L156" s="74" t="s">
        <v>1223</v>
      </c>
      <c r="M156" s="106" t="s">
        <v>339</v>
      </c>
    </row>
    <row r="157" spans="1:13" ht="56.25" x14ac:dyDescent="0.25">
      <c r="A157" s="33" t="s">
        <v>69</v>
      </c>
      <c r="B157" s="33">
        <v>5.2</v>
      </c>
      <c r="C157" s="28" t="s">
        <v>67</v>
      </c>
      <c r="D157" s="74" t="s">
        <v>425</v>
      </c>
      <c r="E157" s="60" t="s">
        <v>179</v>
      </c>
      <c r="F157" s="74" t="s">
        <v>50</v>
      </c>
      <c r="G157" s="86">
        <v>20</v>
      </c>
      <c r="H157" s="60">
        <v>1</v>
      </c>
      <c r="I157" s="96">
        <v>3</v>
      </c>
      <c r="J157" s="89">
        <f t="shared" si="5"/>
        <v>156.42857142857144</v>
      </c>
      <c r="K157" s="2">
        <f t="shared" si="4"/>
        <v>0.38356164383561642</v>
      </c>
      <c r="L157" s="74" t="s">
        <v>1224</v>
      </c>
      <c r="M157" s="1" t="s">
        <v>340</v>
      </c>
    </row>
    <row r="158" spans="1:13" ht="56.25" x14ac:dyDescent="0.25">
      <c r="A158" s="33" t="s">
        <v>69</v>
      </c>
      <c r="B158" s="33">
        <v>5.2</v>
      </c>
      <c r="C158" s="28" t="s">
        <v>67</v>
      </c>
      <c r="D158" s="74" t="s">
        <v>425</v>
      </c>
      <c r="E158" s="60" t="s">
        <v>180</v>
      </c>
      <c r="F158" s="74" t="s">
        <v>50</v>
      </c>
      <c r="G158" s="86">
        <v>3</v>
      </c>
      <c r="H158" s="60">
        <v>2</v>
      </c>
      <c r="I158" s="96">
        <v>3</v>
      </c>
      <c r="J158" s="89">
        <f t="shared" si="5"/>
        <v>156.42857142857144</v>
      </c>
      <c r="K158" s="2">
        <f t="shared" si="4"/>
        <v>5.7534246575342458E-2</v>
      </c>
      <c r="L158" s="74" t="s">
        <v>1225</v>
      </c>
      <c r="M158" s="1" t="s">
        <v>181</v>
      </c>
    </row>
    <row r="159" spans="1:13" ht="22.5" x14ac:dyDescent="0.25">
      <c r="A159" s="33" t="s">
        <v>69</v>
      </c>
      <c r="B159" s="33">
        <v>5.2</v>
      </c>
      <c r="C159" s="28" t="s">
        <v>67</v>
      </c>
      <c r="D159" s="74" t="s">
        <v>425</v>
      </c>
      <c r="E159" s="60" t="s">
        <v>171</v>
      </c>
      <c r="F159" s="60" t="s">
        <v>50</v>
      </c>
      <c r="G159" s="86">
        <v>7</v>
      </c>
      <c r="H159" s="60">
        <v>1</v>
      </c>
      <c r="I159" s="96">
        <v>2</v>
      </c>
      <c r="J159" s="89">
        <f t="shared" si="5"/>
        <v>156.42857142857144</v>
      </c>
      <c r="K159" s="2">
        <f t="shared" si="4"/>
        <v>8.9497716894977153E-2</v>
      </c>
      <c r="L159" s="74" t="s">
        <v>1226</v>
      </c>
      <c r="M159" s="74" t="s">
        <v>341</v>
      </c>
    </row>
    <row r="160" spans="1:13" ht="22.5" x14ac:dyDescent="0.25">
      <c r="A160" s="33" t="s">
        <v>69</v>
      </c>
      <c r="B160" s="33">
        <v>5.2</v>
      </c>
      <c r="C160" s="28" t="s">
        <v>67</v>
      </c>
      <c r="D160" s="74" t="s">
        <v>425</v>
      </c>
      <c r="E160" s="74" t="s">
        <v>342</v>
      </c>
      <c r="F160" s="74" t="s">
        <v>50</v>
      </c>
      <c r="G160" s="4">
        <v>5</v>
      </c>
      <c r="H160" s="74">
        <v>2</v>
      </c>
      <c r="I160" s="74">
        <v>4</v>
      </c>
      <c r="J160" s="59">
        <f t="shared" si="5"/>
        <v>156.42857142857144</v>
      </c>
      <c r="K160" s="2">
        <f t="shared" si="4"/>
        <v>0.12785388127853881</v>
      </c>
      <c r="L160" s="74" t="s">
        <v>1227</v>
      </c>
      <c r="M160" s="74" t="s">
        <v>343</v>
      </c>
    </row>
    <row r="161" spans="1:13" ht="22.5" x14ac:dyDescent="0.25">
      <c r="A161" s="33" t="s">
        <v>69</v>
      </c>
      <c r="B161" s="33">
        <v>5.3</v>
      </c>
      <c r="C161" s="28" t="s">
        <v>67</v>
      </c>
      <c r="D161" s="74" t="s">
        <v>425</v>
      </c>
      <c r="E161" s="74" t="s">
        <v>344</v>
      </c>
      <c r="F161" s="74" t="s">
        <v>74</v>
      </c>
      <c r="G161" s="50">
        <v>36.858921161825727</v>
      </c>
      <c r="H161" s="74">
        <v>1</v>
      </c>
      <c r="I161" s="58">
        <v>1</v>
      </c>
      <c r="J161" s="93">
        <f>365/7*10</f>
        <v>521.42857142857144</v>
      </c>
      <c r="K161" s="2">
        <f t="shared" si="4"/>
        <v>7.0688341954186329E-2</v>
      </c>
      <c r="L161" s="74" t="s">
        <v>433</v>
      </c>
      <c r="M161" s="28" t="s">
        <v>345</v>
      </c>
    </row>
    <row r="162" spans="1:13" x14ac:dyDescent="0.25">
      <c r="A162" s="33" t="s">
        <v>69</v>
      </c>
      <c r="B162" s="33">
        <v>5.3</v>
      </c>
      <c r="C162" s="28" t="s">
        <v>67</v>
      </c>
      <c r="D162" s="74" t="s">
        <v>425</v>
      </c>
      <c r="E162" s="74" t="s">
        <v>1229</v>
      </c>
      <c r="F162" s="74" t="s">
        <v>79</v>
      </c>
      <c r="G162" s="50">
        <v>129</v>
      </c>
      <c r="H162" s="74">
        <v>1</v>
      </c>
      <c r="I162" s="58">
        <v>1</v>
      </c>
      <c r="J162" s="93">
        <f>365/7*25</f>
        <v>1303.5714285714287</v>
      </c>
      <c r="K162" s="2">
        <f t="shared" si="4"/>
        <v>9.8958904109589033E-2</v>
      </c>
      <c r="L162" s="74" t="s">
        <v>1231</v>
      </c>
      <c r="M162" s="28" t="s">
        <v>1230</v>
      </c>
    </row>
    <row r="163" spans="1:13" ht="22.5" x14ac:dyDescent="0.25">
      <c r="A163" s="33" t="s">
        <v>69</v>
      </c>
      <c r="B163" s="33">
        <v>5.3</v>
      </c>
      <c r="C163" s="28" t="s">
        <v>67</v>
      </c>
      <c r="D163" s="74" t="s">
        <v>425</v>
      </c>
      <c r="E163" s="74" t="s">
        <v>1232</v>
      </c>
      <c r="F163" s="74" t="s">
        <v>79</v>
      </c>
      <c r="G163" s="50">
        <v>8</v>
      </c>
      <c r="H163" s="74">
        <v>1</v>
      </c>
      <c r="I163" s="58">
        <v>2</v>
      </c>
      <c r="J163" s="93">
        <f>365/7*2</f>
        <v>104.28571428571429</v>
      </c>
      <c r="K163" s="2">
        <f t="shared" si="4"/>
        <v>0.15342465753424656</v>
      </c>
      <c r="L163" s="74" t="s">
        <v>1234</v>
      </c>
      <c r="M163" s="28" t="s">
        <v>1233</v>
      </c>
    </row>
    <row r="164" spans="1:13" ht="22.5" x14ac:dyDescent="0.25">
      <c r="A164" s="60" t="s">
        <v>69</v>
      </c>
      <c r="B164" s="42">
        <v>5.0999999999999996</v>
      </c>
      <c r="C164" s="28" t="s">
        <v>67</v>
      </c>
      <c r="D164" s="74" t="s">
        <v>434</v>
      </c>
      <c r="E164" s="28" t="s">
        <v>71</v>
      </c>
      <c r="F164" s="28"/>
      <c r="G164" s="2">
        <v>45</v>
      </c>
      <c r="H164" s="3">
        <v>1</v>
      </c>
      <c r="I164" s="82">
        <v>1</v>
      </c>
      <c r="J164" s="6">
        <f>365/7*10</f>
        <v>521.42857142857144</v>
      </c>
      <c r="K164" s="2">
        <f>G164*I164/J164</f>
        <v>8.6301369863013691E-2</v>
      </c>
      <c r="L164" s="28"/>
      <c r="M164" s="74" t="s">
        <v>1159</v>
      </c>
    </row>
    <row r="165" spans="1:13" ht="22.5" x14ac:dyDescent="0.25">
      <c r="A165" s="33" t="s">
        <v>69</v>
      </c>
      <c r="B165" s="33">
        <v>5.5</v>
      </c>
      <c r="C165" s="28" t="s">
        <v>67</v>
      </c>
      <c r="D165" s="28" t="s">
        <v>434</v>
      </c>
      <c r="E165" s="28" t="s">
        <v>72</v>
      </c>
      <c r="F165" s="28" t="s">
        <v>50</v>
      </c>
      <c r="G165" s="2">
        <v>5</v>
      </c>
      <c r="H165" s="3">
        <v>1</v>
      </c>
      <c r="I165" s="82">
        <v>1</v>
      </c>
      <c r="J165" s="6">
        <f>365/7*5</f>
        <v>260.71428571428572</v>
      </c>
      <c r="K165" s="2">
        <f>G165*I165/J165</f>
        <v>1.9178082191780823E-2</v>
      </c>
      <c r="L165" s="28" t="s">
        <v>1265</v>
      </c>
      <c r="M165" s="84" t="s">
        <v>1160</v>
      </c>
    </row>
    <row r="166" spans="1:13" x14ac:dyDescent="0.25">
      <c r="A166" s="33" t="s">
        <v>69</v>
      </c>
      <c r="B166" s="33">
        <v>5.2</v>
      </c>
      <c r="C166" s="28" t="s">
        <v>67</v>
      </c>
      <c r="D166" s="74" t="s">
        <v>434</v>
      </c>
      <c r="E166" s="28" t="s">
        <v>78</v>
      </c>
      <c r="F166" s="33"/>
      <c r="G166" s="2">
        <v>90</v>
      </c>
      <c r="H166" s="3">
        <v>1</v>
      </c>
      <c r="I166" s="3">
        <v>1</v>
      </c>
      <c r="J166" s="6">
        <f>365/7*10</f>
        <v>521.42857142857144</v>
      </c>
      <c r="K166" s="2">
        <f t="shared" ref="K166" si="6">G166*I166/J166</f>
        <v>0.17260273972602738</v>
      </c>
      <c r="L166" s="28"/>
      <c r="M166" s="28" t="s">
        <v>1162</v>
      </c>
    </row>
    <row r="167" spans="1:13" ht="101.25" x14ac:dyDescent="0.25">
      <c r="A167" s="33" t="s">
        <v>69</v>
      </c>
      <c r="B167" s="33">
        <v>5.0999999999999996</v>
      </c>
      <c r="C167" s="28" t="s">
        <v>67</v>
      </c>
      <c r="D167" s="74" t="s">
        <v>434</v>
      </c>
      <c r="E167" s="28" t="s">
        <v>435</v>
      </c>
      <c r="F167" s="74" t="s">
        <v>74</v>
      </c>
      <c r="G167" s="86">
        <v>271.02803738317755</v>
      </c>
      <c r="H167" s="74">
        <v>1</v>
      </c>
      <c r="I167" s="74">
        <v>1</v>
      </c>
      <c r="J167" s="6">
        <f>365/7*40</f>
        <v>2085.7142857142858</v>
      </c>
      <c r="K167" s="2">
        <f t="shared" si="4"/>
        <v>0.12994494943029061</v>
      </c>
      <c r="L167" s="28" t="s">
        <v>436</v>
      </c>
      <c r="M167" s="74" t="s">
        <v>437</v>
      </c>
    </row>
    <row r="168" spans="1:13" ht="101.25" x14ac:dyDescent="0.25">
      <c r="A168" s="33" t="s">
        <v>69</v>
      </c>
      <c r="B168" s="33">
        <v>5.0999999999999996</v>
      </c>
      <c r="C168" s="28" t="s">
        <v>67</v>
      </c>
      <c r="D168" s="74" t="s">
        <v>434</v>
      </c>
      <c r="E168" s="28" t="s">
        <v>438</v>
      </c>
      <c r="F168" s="28" t="s">
        <v>170</v>
      </c>
      <c r="G168" s="86">
        <v>649.38317757009338</v>
      </c>
      <c r="H168" s="60">
        <v>1</v>
      </c>
      <c r="I168" s="96">
        <v>1</v>
      </c>
      <c r="J168" s="93">
        <f>365/7*16</f>
        <v>834.28571428571433</v>
      </c>
      <c r="K168" s="2">
        <f t="shared" si="4"/>
        <v>0.77837024708744063</v>
      </c>
      <c r="L168" s="28" t="s">
        <v>439</v>
      </c>
      <c r="M168" s="28" t="s">
        <v>324</v>
      </c>
    </row>
    <row r="169" spans="1:13" ht="45" x14ac:dyDescent="0.25">
      <c r="A169" s="33" t="s">
        <v>69</v>
      </c>
      <c r="B169" s="33">
        <v>5.0999999999999996</v>
      </c>
      <c r="C169" s="28" t="s">
        <v>67</v>
      </c>
      <c r="D169" s="74" t="s">
        <v>434</v>
      </c>
      <c r="E169" s="28" t="s">
        <v>440</v>
      </c>
      <c r="F169" s="28" t="s">
        <v>74</v>
      </c>
      <c r="G169" s="86">
        <v>195.14018691588782</v>
      </c>
      <c r="H169" s="3">
        <v>1</v>
      </c>
      <c r="I169" s="3">
        <v>1</v>
      </c>
      <c r="J169" s="6">
        <f>365/7*40</f>
        <v>2085.7142857142858</v>
      </c>
      <c r="K169" s="2">
        <f t="shared" si="4"/>
        <v>9.3560363589809223E-2</v>
      </c>
      <c r="L169" s="28" t="s">
        <v>441</v>
      </c>
      <c r="M169" s="28" t="s">
        <v>442</v>
      </c>
    </row>
    <row r="170" spans="1:13" ht="56.25" x14ac:dyDescent="0.25">
      <c r="A170" s="33" t="s">
        <v>69</v>
      </c>
      <c r="B170" s="33">
        <v>5.0999999999999996</v>
      </c>
      <c r="C170" s="28" t="s">
        <v>67</v>
      </c>
      <c r="D170" s="74" t="s">
        <v>434</v>
      </c>
      <c r="E170" s="28" t="s">
        <v>173</v>
      </c>
      <c r="F170" s="28" t="s">
        <v>74</v>
      </c>
      <c r="G170" s="86">
        <v>260.18691588785043</v>
      </c>
      <c r="H170" s="74">
        <v>1</v>
      </c>
      <c r="I170" s="58">
        <v>1</v>
      </c>
      <c r="J170" s="59">
        <f>365/7*40</f>
        <v>2085.7142857142858</v>
      </c>
      <c r="K170" s="2">
        <f t="shared" si="4"/>
        <v>0.12474715145307896</v>
      </c>
      <c r="L170" s="28" t="s">
        <v>443</v>
      </c>
      <c r="M170" s="28" t="s">
        <v>444</v>
      </c>
    </row>
    <row r="171" spans="1:13" ht="45" x14ac:dyDescent="0.25">
      <c r="A171" s="33" t="s">
        <v>69</v>
      </c>
      <c r="B171" s="33">
        <v>5.0999999999999996</v>
      </c>
      <c r="C171" s="28" t="s">
        <v>67</v>
      </c>
      <c r="D171" s="74" t="s">
        <v>434</v>
      </c>
      <c r="E171" s="28" t="s">
        <v>174</v>
      </c>
      <c r="F171" s="28" t="s">
        <v>74</v>
      </c>
      <c r="G171" s="86">
        <v>140.93457943925233</v>
      </c>
      <c r="H171" s="74">
        <v>1</v>
      </c>
      <c r="I171" s="58">
        <v>2</v>
      </c>
      <c r="J171" s="59">
        <f>365/7*40</f>
        <v>2085.7142857142858</v>
      </c>
      <c r="K171" s="2">
        <f t="shared" si="4"/>
        <v>0.13514274740750223</v>
      </c>
      <c r="L171" s="28" t="s">
        <v>445</v>
      </c>
      <c r="M171" s="28" t="s">
        <v>446</v>
      </c>
    </row>
    <row r="172" spans="1:13" ht="45" x14ac:dyDescent="0.25">
      <c r="A172" s="33" t="s">
        <v>69</v>
      </c>
      <c r="B172" s="33">
        <v>5.0999999999999996</v>
      </c>
      <c r="C172" s="28" t="s">
        <v>67</v>
      </c>
      <c r="D172" s="74" t="s">
        <v>434</v>
      </c>
      <c r="E172" s="74" t="s">
        <v>175</v>
      </c>
      <c r="F172" s="74" t="s">
        <v>27</v>
      </c>
      <c r="G172" s="86">
        <v>10.841121495327101</v>
      </c>
      <c r="H172" s="74">
        <v>1</v>
      </c>
      <c r="I172" s="58">
        <v>2</v>
      </c>
      <c r="J172" s="93">
        <f>365/7*20</f>
        <v>1042.8571428571429</v>
      </c>
      <c r="K172" s="2">
        <f t="shared" si="4"/>
        <v>2.0791191908846495E-2</v>
      </c>
      <c r="L172" s="74" t="s">
        <v>447</v>
      </c>
      <c r="M172" s="28" t="s">
        <v>330</v>
      </c>
    </row>
    <row r="173" spans="1:13" ht="33.75" x14ac:dyDescent="0.25">
      <c r="A173" s="33" t="s">
        <v>69</v>
      </c>
      <c r="B173" s="33">
        <v>5.2</v>
      </c>
      <c r="C173" s="28" t="s">
        <v>67</v>
      </c>
      <c r="D173" s="74" t="s">
        <v>434</v>
      </c>
      <c r="E173" s="28" t="s">
        <v>334</v>
      </c>
      <c r="F173" s="28" t="s">
        <v>27</v>
      </c>
      <c r="G173" s="2">
        <v>13.82247403210576</v>
      </c>
      <c r="H173" s="3">
        <v>1</v>
      </c>
      <c r="I173" s="3">
        <v>1</v>
      </c>
      <c r="J173" s="93">
        <f>365/7*8</f>
        <v>417.14285714285717</v>
      </c>
      <c r="K173" s="2">
        <f t="shared" si="4"/>
        <v>3.3136067885185035E-2</v>
      </c>
      <c r="L173" s="28" t="s">
        <v>448</v>
      </c>
      <c r="M173" s="28" t="s">
        <v>335</v>
      </c>
    </row>
    <row r="174" spans="1:13" ht="56.25" x14ac:dyDescent="0.25">
      <c r="A174" s="33" t="s">
        <v>69</v>
      </c>
      <c r="B174" s="33">
        <v>5.2</v>
      </c>
      <c r="C174" s="28" t="s">
        <v>67</v>
      </c>
      <c r="D174" s="74" t="s">
        <v>434</v>
      </c>
      <c r="E174" s="28" t="s">
        <v>177</v>
      </c>
      <c r="F174" s="74" t="s">
        <v>79</v>
      </c>
      <c r="G174" s="2">
        <v>37.214353163361658</v>
      </c>
      <c r="H174" s="74">
        <v>2</v>
      </c>
      <c r="I174" s="58">
        <v>2</v>
      </c>
      <c r="J174" s="93">
        <f>365/7*8</f>
        <v>417.14285714285717</v>
      </c>
      <c r="K174" s="2">
        <f t="shared" si="4"/>
        <v>0.17842498092022713</v>
      </c>
      <c r="L174" s="28" t="s">
        <v>449</v>
      </c>
      <c r="M174" s="74" t="s">
        <v>336</v>
      </c>
    </row>
    <row r="175" spans="1:13" ht="45" x14ac:dyDescent="0.25">
      <c r="A175" s="33" t="s">
        <v>69</v>
      </c>
      <c r="B175" s="33">
        <v>5.2</v>
      </c>
      <c r="C175" s="28" t="s">
        <v>67</v>
      </c>
      <c r="D175" s="74" t="s">
        <v>434</v>
      </c>
      <c r="E175" s="28" t="s">
        <v>171</v>
      </c>
      <c r="F175" s="60" t="s">
        <v>50</v>
      </c>
      <c r="G175" s="2">
        <v>7.4428706326723324</v>
      </c>
      <c r="H175" s="60">
        <v>1</v>
      </c>
      <c r="I175" s="58">
        <v>1</v>
      </c>
      <c r="J175" s="59">
        <f>365/7*8</f>
        <v>417.14285714285717</v>
      </c>
      <c r="K175" s="2">
        <f t="shared" si="4"/>
        <v>1.7842498092022714E-2</v>
      </c>
      <c r="L175" s="28" t="s">
        <v>450</v>
      </c>
      <c r="M175" s="74" t="s">
        <v>341</v>
      </c>
    </row>
    <row r="176" spans="1:13" ht="22.5" x14ac:dyDescent="0.25">
      <c r="A176" s="33" t="s">
        <v>69</v>
      </c>
      <c r="B176" s="33">
        <v>5.2</v>
      </c>
      <c r="C176" s="28" t="s">
        <v>67</v>
      </c>
      <c r="D176" s="74" t="s">
        <v>1228</v>
      </c>
      <c r="E176" s="28" t="s">
        <v>71</v>
      </c>
      <c r="F176" s="28"/>
      <c r="G176" s="2">
        <v>45</v>
      </c>
      <c r="H176" s="3">
        <v>1</v>
      </c>
      <c r="I176" s="82">
        <v>1</v>
      </c>
      <c r="J176" s="6">
        <f>365/7*10</f>
        <v>521.42857142857144</v>
      </c>
      <c r="K176" s="2">
        <f>G176*I176/J176</f>
        <v>8.6301369863013691E-2</v>
      </c>
      <c r="L176" s="28"/>
      <c r="M176" s="74" t="s">
        <v>1159</v>
      </c>
    </row>
    <row r="177" spans="1:14" ht="22.5" x14ac:dyDescent="0.25">
      <c r="A177" s="33" t="s">
        <v>69</v>
      </c>
      <c r="B177" s="33">
        <v>5.2</v>
      </c>
      <c r="C177" s="28" t="s">
        <v>67</v>
      </c>
      <c r="D177" s="74" t="s">
        <v>1228</v>
      </c>
      <c r="E177" s="28" t="s">
        <v>72</v>
      </c>
      <c r="F177" s="28" t="s">
        <v>50</v>
      </c>
      <c r="G177" s="2">
        <v>5</v>
      </c>
      <c r="H177" s="3">
        <v>1</v>
      </c>
      <c r="I177" s="82">
        <v>1</v>
      </c>
      <c r="J177" s="6">
        <f>365/7*5</f>
        <v>260.71428571428572</v>
      </c>
      <c r="K177" s="2">
        <f>G177*I177/J177</f>
        <v>1.9178082191780823E-2</v>
      </c>
      <c r="L177" s="28" t="s">
        <v>1265</v>
      </c>
      <c r="M177" s="84" t="s">
        <v>1160</v>
      </c>
    </row>
    <row r="178" spans="1:14" x14ac:dyDescent="0.25">
      <c r="A178" s="33" t="s">
        <v>69</v>
      </c>
      <c r="B178" s="33">
        <v>5.2</v>
      </c>
      <c r="C178" s="28" t="s">
        <v>67</v>
      </c>
      <c r="D178" s="74" t="s">
        <v>1228</v>
      </c>
      <c r="E178" s="28" t="s">
        <v>78</v>
      </c>
      <c r="F178" s="33"/>
      <c r="G178" s="2">
        <v>90</v>
      </c>
      <c r="H178" s="3">
        <v>1</v>
      </c>
      <c r="I178" s="3">
        <v>1</v>
      </c>
      <c r="J178" s="6">
        <f>365/7*10</f>
        <v>521.42857142857144</v>
      </c>
      <c r="K178" s="2">
        <f t="shared" ref="K178" si="7">G178*I178/J178</f>
        <v>0.17260273972602738</v>
      </c>
      <c r="L178" s="28"/>
      <c r="M178" s="28" t="s">
        <v>1162</v>
      </c>
    </row>
    <row r="179" spans="1:14" x14ac:dyDescent="0.25">
      <c r="A179" s="33" t="s">
        <v>69</v>
      </c>
      <c r="B179" s="33">
        <v>5.2</v>
      </c>
      <c r="C179" s="28" t="s">
        <v>67</v>
      </c>
      <c r="D179" s="74" t="s">
        <v>1228</v>
      </c>
      <c r="E179" s="14" t="s">
        <v>1235</v>
      </c>
      <c r="F179" s="14" t="s">
        <v>183</v>
      </c>
      <c r="G179" s="2">
        <v>929</v>
      </c>
      <c r="H179" s="26">
        <v>1</v>
      </c>
      <c r="I179" s="26">
        <v>1</v>
      </c>
      <c r="J179" s="2">
        <f t="shared" ref="J179:J180" si="8">365/7*25</f>
        <v>1303.5714285714287</v>
      </c>
      <c r="K179" s="2">
        <f t="shared" ref="K179:K182" si="9">G179*I179/J179</f>
        <v>0.7126575342465753</v>
      </c>
      <c r="L179" s="28" t="s">
        <v>1239</v>
      </c>
      <c r="M179" s="14" t="s">
        <v>1238</v>
      </c>
    </row>
    <row r="180" spans="1:14" ht="22.5" x14ac:dyDescent="0.25">
      <c r="A180" s="33" t="s">
        <v>69</v>
      </c>
      <c r="B180" s="33">
        <v>5.2</v>
      </c>
      <c r="C180" s="28" t="s">
        <v>67</v>
      </c>
      <c r="D180" s="74" t="s">
        <v>1228</v>
      </c>
      <c r="E180" s="14" t="s">
        <v>1236</v>
      </c>
      <c r="F180" s="14" t="s">
        <v>1169</v>
      </c>
      <c r="G180" s="2">
        <v>85</v>
      </c>
      <c r="H180" s="26">
        <v>1</v>
      </c>
      <c r="I180" s="26">
        <v>1</v>
      </c>
      <c r="J180" s="2">
        <f t="shared" si="8"/>
        <v>1303.5714285714287</v>
      </c>
      <c r="K180" s="2">
        <f t="shared" si="9"/>
        <v>6.5205479452054793E-2</v>
      </c>
      <c r="L180" s="28" t="s">
        <v>1241</v>
      </c>
      <c r="M180" s="14" t="s">
        <v>1240</v>
      </c>
    </row>
    <row r="181" spans="1:14" x14ac:dyDescent="0.25">
      <c r="A181" s="33" t="s">
        <v>69</v>
      </c>
      <c r="B181" s="33">
        <v>5.2</v>
      </c>
      <c r="C181" s="28" t="s">
        <v>67</v>
      </c>
      <c r="D181" s="74" t="s">
        <v>1228</v>
      </c>
      <c r="E181" s="14" t="s">
        <v>1237</v>
      </c>
      <c r="F181" s="14" t="s">
        <v>1169</v>
      </c>
      <c r="G181" s="2">
        <v>115</v>
      </c>
      <c r="H181" s="26">
        <v>1</v>
      </c>
      <c r="I181" s="26">
        <v>1</v>
      </c>
      <c r="J181" s="2">
        <f>365/7*10</f>
        <v>521.42857142857144</v>
      </c>
      <c r="K181" s="2">
        <f t="shared" si="9"/>
        <v>0.22054794520547943</v>
      </c>
      <c r="L181" s="28" t="s">
        <v>1243</v>
      </c>
      <c r="M181" s="14" t="s">
        <v>1242</v>
      </c>
    </row>
    <row r="182" spans="1:14" ht="21.95" customHeight="1" x14ac:dyDescent="0.25">
      <c r="A182" s="74" t="s">
        <v>69</v>
      </c>
      <c r="B182" s="14">
        <v>5.0999999999999996</v>
      </c>
      <c r="C182" s="23" t="s">
        <v>1152</v>
      </c>
      <c r="D182" s="23" t="s">
        <v>348</v>
      </c>
      <c r="E182" s="23" t="s">
        <v>1244</v>
      </c>
      <c r="F182" s="14" t="s">
        <v>83</v>
      </c>
      <c r="G182" s="2">
        <v>85.05</v>
      </c>
      <c r="H182" s="26">
        <v>1</v>
      </c>
      <c r="I182" s="26">
        <v>1</v>
      </c>
      <c r="J182" s="2">
        <f>365/7*4</f>
        <v>208.57142857142858</v>
      </c>
      <c r="K182" s="2">
        <f t="shared" si="9"/>
        <v>0.40777397260273968</v>
      </c>
      <c r="L182" s="28" t="s">
        <v>1246</v>
      </c>
      <c r="M182" s="14" t="s">
        <v>1245</v>
      </c>
    </row>
    <row r="183" spans="1:14" ht="22.5" x14ac:dyDescent="0.25">
      <c r="A183" s="74" t="s">
        <v>69</v>
      </c>
      <c r="B183" s="14">
        <v>5.0999999999999996</v>
      </c>
      <c r="C183" s="23" t="s">
        <v>1152</v>
      </c>
      <c r="D183" s="23" t="s">
        <v>348</v>
      </c>
      <c r="E183" s="14" t="s">
        <v>1248</v>
      </c>
      <c r="F183" s="14" t="s">
        <v>83</v>
      </c>
      <c r="G183" s="2">
        <v>202.59</v>
      </c>
      <c r="H183" s="26">
        <v>1</v>
      </c>
      <c r="I183" s="26">
        <v>1</v>
      </c>
      <c r="J183" s="2">
        <f>365/7*4</f>
        <v>208.57142857142858</v>
      </c>
      <c r="K183" s="2">
        <f t="shared" ref="K183:K184" si="10">G183*I183/J183</f>
        <v>0.97132191780821919</v>
      </c>
      <c r="L183" s="28" t="s">
        <v>1249</v>
      </c>
      <c r="M183" s="14" t="s">
        <v>1247</v>
      </c>
    </row>
    <row r="184" spans="1:14" x14ac:dyDescent="0.25">
      <c r="A184" s="74" t="s">
        <v>69</v>
      </c>
      <c r="B184" s="14">
        <v>5.0999999999999996</v>
      </c>
      <c r="C184" s="23" t="s">
        <v>1152</v>
      </c>
      <c r="D184" s="23" t="s">
        <v>348</v>
      </c>
      <c r="E184" s="14" t="s">
        <v>1250</v>
      </c>
      <c r="F184" s="14"/>
      <c r="G184" s="2">
        <v>200</v>
      </c>
      <c r="H184" s="26">
        <v>1</v>
      </c>
      <c r="I184" s="26">
        <v>1</v>
      </c>
      <c r="J184" s="2">
        <f>365/7</f>
        <v>52.142857142857146</v>
      </c>
      <c r="K184" s="2">
        <f t="shared" si="10"/>
        <v>3.8356164383561642</v>
      </c>
      <c r="L184" s="28" t="s">
        <v>1251</v>
      </c>
      <c r="M184" s="14"/>
    </row>
    <row r="185" spans="1:14" ht="84.95" customHeight="1" x14ac:dyDescent="0.25">
      <c r="A185" s="33" t="s">
        <v>69</v>
      </c>
      <c r="B185" s="23">
        <v>5.0999999999999996</v>
      </c>
      <c r="C185" s="23" t="s">
        <v>1152</v>
      </c>
      <c r="D185" s="23" t="s">
        <v>1253</v>
      </c>
      <c r="E185" s="23" t="s">
        <v>346</v>
      </c>
      <c r="F185" s="23" t="s">
        <v>347</v>
      </c>
      <c r="G185" s="2">
        <v>555.57000000000005</v>
      </c>
      <c r="H185" s="23"/>
      <c r="I185" s="23">
        <v>1</v>
      </c>
      <c r="J185" s="23">
        <f>365/7*10</f>
        <v>521.42857142857144</v>
      </c>
      <c r="K185" s="2">
        <f t="shared" ref="K185:K190" si="11">G185*I185/J185</f>
        <v>1.0654767123287672</v>
      </c>
      <c r="L185" s="23" t="s">
        <v>1254</v>
      </c>
      <c r="M185" s="23" t="s">
        <v>1260</v>
      </c>
      <c r="N185" s="60"/>
    </row>
    <row r="186" spans="1:14" ht="87" customHeight="1" x14ac:dyDescent="0.25">
      <c r="A186" s="33" t="s">
        <v>69</v>
      </c>
      <c r="B186" s="23">
        <v>5.0999999999999996</v>
      </c>
      <c r="C186" s="23" t="s">
        <v>1152</v>
      </c>
      <c r="D186" s="23" t="s">
        <v>1255</v>
      </c>
      <c r="E186" s="23" t="s">
        <v>346</v>
      </c>
      <c r="F186" s="23" t="s">
        <v>347</v>
      </c>
      <c r="G186" s="2">
        <v>458.51</v>
      </c>
      <c r="H186" s="23"/>
      <c r="I186" s="23">
        <v>1</v>
      </c>
      <c r="J186" s="23">
        <f>365/7*10</f>
        <v>521.42857142857144</v>
      </c>
      <c r="K186" s="2">
        <f t="shared" si="11"/>
        <v>0.87933424657534243</v>
      </c>
      <c r="L186" s="23" t="s">
        <v>1254</v>
      </c>
      <c r="M186" s="23" t="s">
        <v>1264</v>
      </c>
      <c r="N186" s="60"/>
    </row>
    <row r="187" spans="1:14" ht="83.1" customHeight="1" x14ac:dyDescent="0.25">
      <c r="A187" s="33" t="s">
        <v>69</v>
      </c>
      <c r="B187" s="23">
        <v>5.0999999999999996</v>
      </c>
      <c r="C187" s="23" t="s">
        <v>1152</v>
      </c>
      <c r="D187" s="23" t="s">
        <v>1228</v>
      </c>
      <c r="E187" s="23" t="s">
        <v>346</v>
      </c>
      <c r="F187" s="23" t="s">
        <v>347</v>
      </c>
      <c r="G187" s="2">
        <v>334.15</v>
      </c>
      <c r="H187" s="23"/>
      <c r="I187" s="23">
        <v>1</v>
      </c>
      <c r="J187" s="23">
        <f>365/7*10</f>
        <v>521.42857142857144</v>
      </c>
      <c r="K187" s="2">
        <f t="shared" si="11"/>
        <v>0.64083561643835607</v>
      </c>
      <c r="L187" s="23" t="s">
        <v>1254</v>
      </c>
      <c r="M187" s="23" t="s">
        <v>1263</v>
      </c>
      <c r="N187" s="60"/>
    </row>
    <row r="188" spans="1:14" ht="71.099999999999994" customHeight="1" x14ac:dyDescent="0.25">
      <c r="A188" s="33" t="s">
        <v>69</v>
      </c>
      <c r="B188" s="33">
        <v>5.0999999999999996</v>
      </c>
      <c r="C188" s="33" t="s">
        <v>67</v>
      </c>
      <c r="D188" s="28" t="s">
        <v>85</v>
      </c>
      <c r="E188" s="28" t="s">
        <v>1266</v>
      </c>
      <c r="F188" s="28" t="s">
        <v>347</v>
      </c>
      <c r="G188" s="2">
        <v>802.49</v>
      </c>
      <c r="H188" s="3"/>
      <c r="I188" s="82">
        <v>1</v>
      </c>
      <c r="J188" s="4">
        <f>365/7*10</f>
        <v>521.42857142857144</v>
      </c>
      <c r="K188" s="2">
        <f t="shared" si="11"/>
        <v>1.5390219178082192</v>
      </c>
      <c r="L188" s="28" t="s">
        <v>1261</v>
      </c>
      <c r="M188" s="14" t="s">
        <v>1262</v>
      </c>
      <c r="N188" s="60"/>
    </row>
    <row r="189" spans="1:14" ht="81" customHeight="1" x14ac:dyDescent="0.25">
      <c r="A189" s="33" t="s">
        <v>69</v>
      </c>
      <c r="B189" s="33">
        <v>5.0999999999999996</v>
      </c>
      <c r="C189" s="33" t="s">
        <v>67</v>
      </c>
      <c r="D189" s="28" t="s">
        <v>70</v>
      </c>
      <c r="E189" s="28" t="s">
        <v>346</v>
      </c>
      <c r="F189" s="28" t="s">
        <v>347</v>
      </c>
      <c r="G189" s="2">
        <v>432.49</v>
      </c>
      <c r="H189" s="3">
        <v>1</v>
      </c>
      <c r="I189" s="82">
        <v>1</v>
      </c>
      <c r="J189" s="4">
        <f>365/7*20</f>
        <v>1042.8571428571429</v>
      </c>
      <c r="K189" s="2">
        <f t="shared" si="11"/>
        <v>0.4147164383561644</v>
      </c>
      <c r="L189" s="28" t="s">
        <v>1257</v>
      </c>
      <c r="M189" s="74" t="s">
        <v>1259</v>
      </c>
      <c r="N189" s="60"/>
    </row>
    <row r="190" spans="1:14" ht="71.099999999999994" customHeight="1" x14ac:dyDescent="0.25">
      <c r="A190" s="33" t="s">
        <v>69</v>
      </c>
      <c r="B190" s="33">
        <v>5.0999999999999996</v>
      </c>
      <c r="C190" s="33" t="s">
        <v>67</v>
      </c>
      <c r="D190" s="28" t="s">
        <v>77</v>
      </c>
      <c r="E190" s="28" t="s">
        <v>346</v>
      </c>
      <c r="F190" s="28" t="s">
        <v>347</v>
      </c>
      <c r="G190" s="2">
        <v>699.94</v>
      </c>
      <c r="H190" s="3"/>
      <c r="I190" s="82">
        <v>1</v>
      </c>
      <c r="J190" s="4">
        <f t="shared" ref="J190:J191" si="12">365/7*20</f>
        <v>1042.8571428571429</v>
      </c>
      <c r="K190" s="2">
        <f t="shared" si="11"/>
        <v>0.6711753424657535</v>
      </c>
      <c r="L190" s="28" t="s">
        <v>1078</v>
      </c>
      <c r="M190" s="14" t="s">
        <v>1258</v>
      </c>
      <c r="N190" s="60"/>
    </row>
    <row r="191" spans="1:14" s="23" customFormat="1" ht="84.95" customHeight="1" x14ac:dyDescent="0.25">
      <c r="A191" s="33" t="s">
        <v>69</v>
      </c>
      <c r="B191" s="33">
        <v>5.0999999999999996</v>
      </c>
      <c r="C191" s="33" t="s">
        <v>67</v>
      </c>
      <c r="D191" s="28" t="s">
        <v>1256</v>
      </c>
      <c r="E191" s="28" t="s">
        <v>346</v>
      </c>
      <c r="F191" s="28" t="s">
        <v>347</v>
      </c>
      <c r="G191" s="2">
        <v>432.49</v>
      </c>
      <c r="H191" s="3"/>
      <c r="I191" s="82">
        <v>1</v>
      </c>
      <c r="J191" s="4">
        <f t="shared" si="12"/>
        <v>1042.8571428571429</v>
      </c>
      <c r="K191" s="2">
        <f>G191*I191/J191</f>
        <v>0.4147164383561644</v>
      </c>
      <c r="L191" s="28" t="s">
        <v>1077</v>
      </c>
      <c r="M191" s="74" t="s">
        <v>1259</v>
      </c>
    </row>
    <row r="192" spans="1:14" x14ac:dyDescent="0.25">
      <c r="A192" s="74"/>
      <c r="B192" s="49"/>
      <c r="C192" s="28"/>
      <c r="D192" s="74"/>
      <c r="E192" s="74"/>
      <c r="F192" s="4"/>
      <c r="H192" s="74"/>
      <c r="I192" s="93"/>
      <c r="J192" s="59"/>
      <c r="K192" s="2"/>
      <c r="L192" s="28"/>
      <c r="M192" s="77"/>
    </row>
    <row r="193" spans="5:11" x14ac:dyDescent="0.25">
      <c r="K193" s="108"/>
    </row>
    <row r="194" spans="5:11" x14ac:dyDescent="0.25">
      <c r="E194" s="46" t="s">
        <v>983</v>
      </c>
      <c r="F194" s="46"/>
      <c r="G194" s="109">
        <f>SUM(K5:K191)</f>
        <v>43.968337485932111</v>
      </c>
    </row>
    <row r="366" spans="7:7" x14ac:dyDescent="0.25">
      <c r="G366" s="33"/>
    </row>
    <row r="367" spans="7:7" x14ac:dyDescent="0.25">
      <c r="G367" s="110"/>
    </row>
    <row r="368" spans="7:7" x14ac:dyDescent="0.25">
      <c r="G368" s="110"/>
    </row>
    <row r="369" spans="7:7" x14ac:dyDescent="0.25">
      <c r="G369" s="110"/>
    </row>
    <row r="370" spans="7:7" x14ac:dyDescent="0.25">
      <c r="G370" s="57"/>
    </row>
    <row r="371" spans="7:7" x14ac:dyDescent="0.25">
      <c r="G371" s="52"/>
    </row>
    <row r="372" spans="7:7" x14ac:dyDescent="0.25">
      <c r="G372" s="57"/>
    </row>
    <row r="373" spans="7:7" x14ac:dyDescent="0.25">
      <c r="G373" s="52"/>
    </row>
    <row r="374" spans="7:7" x14ac:dyDescent="0.25">
      <c r="G374" s="52"/>
    </row>
    <row r="375" spans="7:7" x14ac:dyDescent="0.25">
      <c r="G375" s="52"/>
    </row>
    <row r="376" spans="7:7" x14ac:dyDescent="0.25">
      <c r="G376" s="52"/>
    </row>
    <row r="377" spans="7:7" x14ac:dyDescent="0.25">
      <c r="G377" s="52"/>
    </row>
    <row r="378" spans="7:7" x14ac:dyDescent="0.25">
      <c r="G378" s="52"/>
    </row>
    <row r="379" spans="7:7" x14ac:dyDescent="0.25">
      <c r="G379" s="57"/>
    </row>
    <row r="380" spans="7:7" x14ac:dyDescent="0.25">
      <c r="G380" s="52"/>
    </row>
    <row r="381" spans="7:7" x14ac:dyDescent="0.25">
      <c r="G381" s="33"/>
    </row>
    <row r="382" spans="7:7" x14ac:dyDescent="0.25">
      <c r="G382" s="110"/>
    </row>
    <row r="383" spans="7:7" x14ac:dyDescent="0.25">
      <c r="G383" s="33"/>
    </row>
    <row r="384" spans="7:7" x14ac:dyDescent="0.25">
      <c r="G384" s="110"/>
    </row>
    <row r="385" spans="7:7" x14ac:dyDescent="0.25">
      <c r="G385" s="110"/>
    </row>
    <row r="386" spans="7:7" x14ac:dyDescent="0.25">
      <c r="G386" s="110"/>
    </row>
    <row r="387" spans="7:7" x14ac:dyDescent="0.25">
      <c r="G387" s="49"/>
    </row>
    <row r="388" spans="7:7" x14ac:dyDescent="0.25">
      <c r="G388" s="49"/>
    </row>
    <row r="389" spans="7:7" x14ac:dyDescent="0.25">
      <c r="G389" s="52"/>
    </row>
    <row r="390" spans="7:7" x14ac:dyDescent="0.25">
      <c r="G390" s="52"/>
    </row>
    <row r="391" spans="7:7" x14ac:dyDescent="0.25">
      <c r="G391" s="110"/>
    </row>
    <row r="392" spans="7:7" x14ac:dyDescent="0.25">
      <c r="G392" s="110"/>
    </row>
    <row r="393" spans="7:7" x14ac:dyDescent="0.25">
      <c r="G393" s="57"/>
    </row>
    <row r="394" spans="7:7" x14ac:dyDescent="0.25">
      <c r="G394" s="57"/>
    </row>
    <row r="395" spans="7:7" x14ac:dyDescent="0.25">
      <c r="G395" s="57"/>
    </row>
    <row r="396" spans="7:7" x14ac:dyDescent="0.25">
      <c r="G396" s="57"/>
    </row>
    <row r="397" spans="7:7" x14ac:dyDescent="0.25">
      <c r="G397" s="57"/>
    </row>
    <row r="398" spans="7:7" x14ac:dyDescent="0.25">
      <c r="G398" s="57"/>
    </row>
    <row r="399" spans="7:7" x14ac:dyDescent="0.25">
      <c r="G399" s="57"/>
    </row>
    <row r="400" spans="7:7" x14ac:dyDescent="0.25">
      <c r="G400" s="57"/>
    </row>
    <row r="401" spans="7:7" x14ac:dyDescent="0.25">
      <c r="G401" s="57"/>
    </row>
    <row r="402" spans="7:7" x14ac:dyDescent="0.25">
      <c r="G402" s="57"/>
    </row>
    <row r="403" spans="7:7" x14ac:dyDescent="0.25">
      <c r="G403" s="57"/>
    </row>
    <row r="404" spans="7:7" x14ac:dyDescent="0.25">
      <c r="G404" s="57"/>
    </row>
    <row r="405" spans="7:7" x14ac:dyDescent="0.25">
      <c r="G405" s="57"/>
    </row>
    <row r="406" spans="7:7" x14ac:dyDescent="0.25">
      <c r="G406" s="52"/>
    </row>
    <row r="407" spans="7:7" x14ac:dyDescent="0.25">
      <c r="G407" s="52"/>
    </row>
    <row r="408" spans="7:7" x14ac:dyDescent="0.25">
      <c r="G408" s="57"/>
    </row>
    <row r="409" spans="7:7" x14ac:dyDescent="0.25">
      <c r="G409" s="52"/>
    </row>
    <row r="410" spans="7:7" x14ac:dyDescent="0.25">
      <c r="G410" s="57"/>
    </row>
    <row r="411" spans="7:7" x14ac:dyDescent="0.25">
      <c r="G411" s="52"/>
    </row>
    <row r="412" spans="7:7" x14ac:dyDescent="0.25">
      <c r="G412" s="42"/>
    </row>
    <row r="413" spans="7:7" x14ac:dyDescent="0.25">
      <c r="G413" s="57"/>
    </row>
    <row r="414" spans="7:7" x14ac:dyDescent="0.25">
      <c r="G414" s="49"/>
    </row>
    <row r="415" spans="7:7" x14ac:dyDescent="0.25">
      <c r="G415" s="57"/>
    </row>
    <row r="416" spans="7:7" x14ac:dyDescent="0.25">
      <c r="G416" s="57"/>
    </row>
    <row r="417" spans="7:7" x14ac:dyDescent="0.25">
      <c r="G417" s="42"/>
    </row>
    <row r="418" spans="7:7" x14ac:dyDescent="0.25">
      <c r="G418" s="57"/>
    </row>
    <row r="419" spans="7:7" x14ac:dyDescent="0.25">
      <c r="G419" s="52"/>
    </row>
    <row r="420" spans="7:7" x14ac:dyDescent="0.25">
      <c r="G420" s="49"/>
    </row>
    <row r="421" spans="7:7" x14ac:dyDescent="0.25">
      <c r="G421" s="57"/>
    </row>
    <row r="422" spans="7:7" x14ac:dyDescent="0.25">
      <c r="G422" s="57"/>
    </row>
    <row r="423" spans="7:7" x14ac:dyDescent="0.25">
      <c r="G423" s="57"/>
    </row>
    <row r="424" spans="7:7" x14ac:dyDescent="0.25">
      <c r="G424" s="42"/>
    </row>
    <row r="425" spans="7:7" x14ac:dyDescent="0.25">
      <c r="G425" s="52"/>
    </row>
    <row r="426" spans="7:7" x14ac:dyDescent="0.25">
      <c r="G426" s="110"/>
    </row>
    <row r="427" spans="7:7" x14ac:dyDescent="0.25">
      <c r="G427" s="52"/>
    </row>
    <row r="428" spans="7:7" x14ac:dyDescent="0.25">
      <c r="G428" s="57"/>
    </row>
    <row r="429" spans="7:7" x14ac:dyDescent="0.25">
      <c r="G429" s="57"/>
    </row>
    <row r="430" spans="7:7" x14ac:dyDescent="0.25">
      <c r="G430" s="57"/>
    </row>
    <row r="431" spans="7:7" x14ac:dyDescent="0.25">
      <c r="G431" s="57"/>
    </row>
    <row r="432" spans="7:7" x14ac:dyDescent="0.25">
      <c r="G432" s="57"/>
    </row>
    <row r="433" spans="7:7" x14ac:dyDescent="0.25">
      <c r="G433" s="57"/>
    </row>
    <row r="434" spans="7:7" x14ac:dyDescent="0.25">
      <c r="G434" s="52"/>
    </row>
    <row r="435" spans="7:7" x14ac:dyDescent="0.25">
      <c r="G435" s="57"/>
    </row>
    <row r="436" spans="7:7" x14ac:dyDescent="0.25">
      <c r="G436" s="57"/>
    </row>
    <row r="437" spans="7:7" x14ac:dyDescent="0.25">
      <c r="G437" s="57"/>
    </row>
    <row r="438" spans="7:7" x14ac:dyDescent="0.25">
      <c r="G438" s="52"/>
    </row>
    <row r="439" spans="7:7" x14ac:dyDescent="0.25">
      <c r="G439" s="52"/>
    </row>
    <row r="440" spans="7:7" x14ac:dyDescent="0.25">
      <c r="G440" s="42"/>
    </row>
    <row r="441" spans="7:7" x14ac:dyDescent="0.25">
      <c r="G441" s="52"/>
    </row>
    <row r="442" spans="7:7" x14ac:dyDescent="0.25">
      <c r="G442" s="52"/>
    </row>
    <row r="443" spans="7:7" x14ac:dyDescent="0.25">
      <c r="G443" s="52"/>
    </row>
    <row r="444" spans="7:7" x14ac:dyDescent="0.25">
      <c r="G444" s="52"/>
    </row>
    <row r="445" spans="7:7" x14ac:dyDescent="0.25">
      <c r="G445" s="52"/>
    </row>
    <row r="446" spans="7:7" x14ac:dyDescent="0.25">
      <c r="G446" s="42"/>
    </row>
    <row r="447" spans="7:7" x14ac:dyDescent="0.25">
      <c r="G447" s="52"/>
    </row>
    <row r="448" spans="7:7" x14ac:dyDescent="0.25">
      <c r="G448" s="52"/>
    </row>
    <row r="449" spans="7:7" x14ac:dyDescent="0.25">
      <c r="G449" s="57"/>
    </row>
    <row r="450" spans="7:7" x14ac:dyDescent="0.25">
      <c r="G450" s="57"/>
    </row>
    <row r="451" spans="7:7" x14ac:dyDescent="0.25">
      <c r="G451" s="52"/>
    </row>
    <row r="452" spans="7:7" x14ac:dyDescent="0.25">
      <c r="G452" s="57"/>
    </row>
    <row r="453" spans="7:7" x14ac:dyDescent="0.25">
      <c r="G453" s="57"/>
    </row>
    <row r="454" spans="7:7" x14ac:dyDescent="0.25">
      <c r="G454" s="57"/>
    </row>
    <row r="455" spans="7:7" x14ac:dyDescent="0.25">
      <c r="G455" s="52"/>
    </row>
    <row r="456" spans="7:7" x14ac:dyDescent="0.25">
      <c r="G456" s="57"/>
    </row>
    <row r="457" spans="7:7" x14ac:dyDescent="0.25">
      <c r="G457" s="52"/>
    </row>
    <row r="458" spans="7:7" x14ac:dyDescent="0.25">
      <c r="G458" s="57"/>
    </row>
    <row r="459" spans="7:7" x14ac:dyDescent="0.25">
      <c r="G459" s="52"/>
    </row>
    <row r="460" spans="7:7" x14ac:dyDescent="0.25">
      <c r="G460" s="52"/>
    </row>
    <row r="461" spans="7:7" x14ac:dyDescent="0.25">
      <c r="G461" s="57"/>
    </row>
    <row r="462" spans="7:7" x14ac:dyDescent="0.25">
      <c r="G462" s="57"/>
    </row>
    <row r="463" spans="7:7" x14ac:dyDescent="0.25">
      <c r="G463" s="49"/>
    </row>
    <row r="464" spans="7:7" x14ac:dyDescent="0.25">
      <c r="G464" s="49"/>
    </row>
    <row r="465" spans="7:7" x14ac:dyDescent="0.25">
      <c r="G465" s="52"/>
    </row>
    <row r="466" spans="7:7" x14ac:dyDescent="0.25">
      <c r="G466" s="49"/>
    </row>
    <row r="467" spans="7:7" x14ac:dyDescent="0.25">
      <c r="G467" s="52"/>
    </row>
    <row r="468" spans="7:7" x14ac:dyDescent="0.25">
      <c r="G468" s="52"/>
    </row>
    <row r="469" spans="7:7" x14ac:dyDescent="0.25">
      <c r="G469" s="57"/>
    </row>
    <row r="470" spans="7:7" x14ac:dyDescent="0.25">
      <c r="G470" s="57"/>
    </row>
    <row r="471" spans="7:7" x14ac:dyDescent="0.25">
      <c r="G471" s="57"/>
    </row>
    <row r="472" spans="7:7" x14ac:dyDescent="0.25">
      <c r="G472" s="49"/>
    </row>
    <row r="473" spans="7:7" x14ac:dyDescent="0.25">
      <c r="G473" s="110"/>
    </row>
    <row r="474" spans="7:7" x14ac:dyDescent="0.25">
      <c r="G474" s="110"/>
    </row>
    <row r="475" spans="7:7" x14ac:dyDescent="0.25">
      <c r="G475" s="52"/>
    </row>
    <row r="476" spans="7:7" x14ac:dyDescent="0.25">
      <c r="G476" s="52"/>
    </row>
    <row r="477" spans="7:7" x14ac:dyDescent="0.25">
      <c r="G477" s="57"/>
    </row>
    <row r="478" spans="7:7" x14ac:dyDescent="0.25">
      <c r="G478" s="57"/>
    </row>
    <row r="479" spans="7:7" x14ac:dyDescent="0.25">
      <c r="G479" s="57"/>
    </row>
    <row r="480" spans="7:7" x14ac:dyDescent="0.25">
      <c r="G480" s="57"/>
    </row>
    <row r="481" spans="7:7" x14ac:dyDescent="0.25">
      <c r="G481" s="57"/>
    </row>
    <row r="482" spans="7:7" x14ac:dyDescent="0.25">
      <c r="G482" s="57"/>
    </row>
    <row r="483" spans="7:7" x14ac:dyDescent="0.25">
      <c r="G483" s="57"/>
    </row>
    <row r="484" spans="7:7" x14ac:dyDescent="0.25">
      <c r="G484" s="110"/>
    </row>
    <row r="485" spans="7:7" x14ac:dyDescent="0.25">
      <c r="G485" s="110"/>
    </row>
    <row r="486" spans="7:7" x14ac:dyDescent="0.25">
      <c r="G486" s="110"/>
    </row>
    <row r="487" spans="7:7" x14ac:dyDescent="0.25">
      <c r="G487" s="52"/>
    </row>
    <row r="488" spans="7:7" x14ac:dyDescent="0.25">
      <c r="G488" s="49"/>
    </row>
    <row r="489" spans="7:7" x14ac:dyDescent="0.25">
      <c r="G489" s="52"/>
    </row>
    <row r="490" spans="7:7" x14ac:dyDescent="0.25">
      <c r="G490" s="57"/>
    </row>
    <row r="491" spans="7:7" x14ac:dyDescent="0.25">
      <c r="G491" s="57"/>
    </row>
    <row r="492" spans="7:7" x14ac:dyDescent="0.25">
      <c r="G492" s="33"/>
    </row>
    <row r="493" spans="7:7" x14ac:dyDescent="0.25">
      <c r="G493" s="110"/>
    </row>
    <row r="494" spans="7:7" x14ac:dyDescent="0.25">
      <c r="G494" s="110"/>
    </row>
    <row r="495" spans="7:7" x14ac:dyDescent="0.25">
      <c r="G495" s="110"/>
    </row>
    <row r="496" spans="7:7" x14ac:dyDescent="0.25">
      <c r="G496" s="33"/>
    </row>
    <row r="497" spans="7:7" x14ac:dyDescent="0.25">
      <c r="G497" s="110"/>
    </row>
    <row r="498" spans="7:7" x14ac:dyDescent="0.25">
      <c r="G498" s="49"/>
    </row>
    <row r="499" spans="7:7" x14ac:dyDescent="0.25">
      <c r="G499" s="49"/>
    </row>
    <row r="500" spans="7:7" x14ac:dyDescent="0.25">
      <c r="G500" s="49"/>
    </row>
    <row r="501" spans="7:7" x14ac:dyDescent="0.25">
      <c r="G501" s="49"/>
    </row>
    <row r="502" spans="7:7" x14ac:dyDescent="0.25">
      <c r="G502" s="49"/>
    </row>
    <row r="503" spans="7:7" x14ac:dyDescent="0.25">
      <c r="G503" s="49"/>
    </row>
    <row r="504" spans="7:7" x14ac:dyDescent="0.25">
      <c r="G504" s="57"/>
    </row>
    <row r="505" spans="7:7" x14ac:dyDescent="0.25">
      <c r="G505" s="52"/>
    </row>
    <row r="506" spans="7:7" x14ac:dyDescent="0.25">
      <c r="G506" s="52"/>
    </row>
    <row r="507" spans="7:7" x14ac:dyDescent="0.25">
      <c r="G507" s="57"/>
    </row>
    <row r="508" spans="7:7" x14ac:dyDescent="0.25">
      <c r="G508" s="57"/>
    </row>
    <row r="509" spans="7:7" x14ac:dyDescent="0.25">
      <c r="G509" s="52"/>
    </row>
    <row r="510" spans="7:7" x14ac:dyDescent="0.25">
      <c r="G510" s="52"/>
    </row>
    <row r="511" spans="7:7" x14ac:dyDescent="0.25">
      <c r="G511" s="52"/>
    </row>
    <row r="512" spans="7:7" x14ac:dyDescent="0.25">
      <c r="G512" s="52"/>
    </row>
    <row r="513" spans="7:7" x14ac:dyDescent="0.25">
      <c r="G513" s="52"/>
    </row>
    <row r="514" spans="7:7" x14ac:dyDescent="0.25">
      <c r="G514" s="57"/>
    </row>
    <row r="515" spans="7:7" x14ac:dyDescent="0.25">
      <c r="G515" s="57"/>
    </row>
    <row r="516" spans="7:7" x14ac:dyDescent="0.25">
      <c r="G516" s="33"/>
    </row>
    <row r="517" spans="7:7" x14ac:dyDescent="0.25">
      <c r="G517" s="110"/>
    </row>
    <row r="518" spans="7:7" x14ac:dyDescent="0.25">
      <c r="G518" s="33"/>
    </row>
    <row r="519" spans="7:7" x14ac:dyDescent="0.25">
      <c r="G519" s="110"/>
    </row>
    <row r="520" spans="7:7" x14ac:dyDescent="0.25">
      <c r="G520" s="110"/>
    </row>
    <row r="521" spans="7:7" x14ac:dyDescent="0.25">
      <c r="G521" s="110"/>
    </row>
    <row r="522" spans="7:7" x14ac:dyDescent="0.25">
      <c r="G522" s="57"/>
    </row>
    <row r="523" spans="7:7" x14ac:dyDescent="0.25">
      <c r="G523" s="57"/>
    </row>
    <row r="524" spans="7:7" x14ac:dyDescent="0.25">
      <c r="G524" s="110"/>
    </row>
    <row r="525" spans="7:7" x14ac:dyDescent="0.25">
      <c r="G525" s="57"/>
    </row>
    <row r="526" spans="7:7" x14ac:dyDescent="0.25">
      <c r="G526" s="57"/>
    </row>
    <row r="527" spans="7:7" x14ac:dyDescent="0.25">
      <c r="G527" s="57"/>
    </row>
    <row r="528" spans="7:7" x14ac:dyDescent="0.25">
      <c r="G528" s="110"/>
    </row>
    <row r="529" spans="7:7" x14ac:dyDescent="0.25">
      <c r="G529" s="57"/>
    </row>
    <row r="530" spans="7:7" x14ac:dyDescent="0.25">
      <c r="G530" s="52"/>
    </row>
    <row r="531" spans="7:7" x14ac:dyDescent="0.25">
      <c r="G531" s="110"/>
    </row>
    <row r="532" spans="7:7" x14ac:dyDescent="0.25">
      <c r="G532" s="110"/>
    </row>
    <row r="533" spans="7:7" x14ac:dyDescent="0.25">
      <c r="G533" s="110"/>
    </row>
    <row r="534" spans="7:7" x14ac:dyDescent="0.25">
      <c r="G534" s="110"/>
    </row>
    <row r="535" spans="7:7" x14ac:dyDescent="0.25">
      <c r="G535" s="57"/>
    </row>
  </sheetData>
  <phoneticPr fontId="23" type="noConversion"/>
  <printOptions gridLines="1"/>
  <pageMargins left="0.7" right="0.7" top="0.75" bottom="0.75" header="0.3" footer="0.3"/>
  <pageSetup paperSize="9" scale="1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5"/>
  <sheetViews>
    <sheetView view="pageBreakPreview" zoomScale="115" zoomScaleNormal="90" zoomScaleSheetLayoutView="115" workbookViewId="0"/>
  </sheetViews>
  <sheetFormatPr defaultColWidth="8.85546875" defaultRowHeight="15" x14ac:dyDescent="0.25"/>
  <cols>
    <col min="1" max="1" width="5.85546875" customWidth="1"/>
    <col min="2" max="3" width="6.42578125" customWidth="1"/>
    <col min="5" max="5" width="9.140625" customWidth="1"/>
    <col min="6" max="6" width="14.85546875" customWidth="1"/>
    <col min="7" max="7" width="6" customWidth="1"/>
    <col min="8" max="8" width="6.42578125" customWidth="1"/>
    <col min="9" max="9" width="6.85546875" customWidth="1"/>
    <col min="10" max="10" width="7.42578125" customWidth="1"/>
    <col min="11" max="11" width="7.140625" customWidth="1"/>
    <col min="12" max="12" width="22.42578125" customWidth="1"/>
    <col min="13" max="13" width="26.140625" customWidth="1"/>
    <col min="14" max="14" width="26" customWidth="1"/>
  </cols>
  <sheetData>
    <row r="1" spans="1:13" ht="12.75" customHeight="1" x14ac:dyDescent="0.25">
      <c r="A1" s="7" t="s">
        <v>1275</v>
      </c>
      <c r="B1" s="77"/>
      <c r="C1" s="1"/>
    </row>
    <row r="2" spans="1:13" ht="12.75" customHeight="1" x14ac:dyDescent="0.25">
      <c r="A2" s="80" t="s">
        <v>35</v>
      </c>
      <c r="B2" s="80"/>
      <c r="C2" s="55"/>
    </row>
    <row r="3" spans="1:13" ht="12.75" customHeight="1" x14ac:dyDescent="0.25">
      <c r="A3" s="80" t="s">
        <v>963</v>
      </c>
      <c r="B3" s="80"/>
      <c r="C3" s="55"/>
    </row>
    <row r="4" spans="1:13" ht="45" x14ac:dyDescent="0.25">
      <c r="A4" s="17" t="s">
        <v>0</v>
      </c>
      <c r="B4" s="17" t="s">
        <v>1</v>
      </c>
      <c r="C4" s="17" t="s">
        <v>2</v>
      </c>
      <c r="D4" s="19" t="s">
        <v>3</v>
      </c>
      <c r="E4" s="19" t="s">
        <v>4</v>
      </c>
      <c r="F4" s="19" t="s">
        <v>6</v>
      </c>
      <c r="G4" s="51" t="s">
        <v>7</v>
      </c>
      <c r="H4" s="51" t="s">
        <v>8</v>
      </c>
      <c r="I4" s="19" t="s">
        <v>9</v>
      </c>
      <c r="J4" s="19" t="s">
        <v>10</v>
      </c>
      <c r="K4" s="51" t="s">
        <v>11</v>
      </c>
      <c r="L4" s="51" t="s">
        <v>12</v>
      </c>
      <c r="M4" s="19" t="s">
        <v>13</v>
      </c>
    </row>
    <row r="5" spans="1:13" ht="33.75" x14ac:dyDescent="0.25">
      <c r="A5" s="1" t="s">
        <v>36</v>
      </c>
      <c r="B5" s="28">
        <v>8.1</v>
      </c>
      <c r="C5" s="33" t="s">
        <v>67</v>
      </c>
      <c r="D5" s="60" t="s">
        <v>37</v>
      </c>
      <c r="E5" s="60" t="s">
        <v>38</v>
      </c>
      <c r="F5" s="60"/>
      <c r="G5" s="86">
        <v>10</v>
      </c>
      <c r="H5" s="86"/>
      <c r="I5" s="87">
        <v>1</v>
      </c>
      <c r="J5" s="89">
        <v>4.3499999999999996</v>
      </c>
      <c r="K5" s="2">
        <f t="shared" ref="K5:K10" si="0">G5*I5/J5</f>
        <v>2.298850574712644</v>
      </c>
      <c r="L5" s="81" t="s">
        <v>1053</v>
      </c>
      <c r="M5" s="60"/>
    </row>
    <row r="6" spans="1:13" ht="22.5" x14ac:dyDescent="0.25">
      <c r="A6" s="77" t="s">
        <v>39</v>
      </c>
      <c r="B6" s="33">
        <v>8.1999999999999993</v>
      </c>
      <c r="C6" s="33" t="s">
        <v>67</v>
      </c>
      <c r="D6" s="77" t="s">
        <v>40</v>
      </c>
      <c r="E6" s="60" t="s">
        <v>620</v>
      </c>
      <c r="F6" s="60" t="s">
        <v>74</v>
      </c>
      <c r="G6" s="86">
        <v>30</v>
      </c>
      <c r="H6" s="87">
        <v>1</v>
      </c>
      <c r="I6" s="87">
        <v>1</v>
      </c>
      <c r="J6" s="89">
        <f>365/7*10</f>
        <v>521.42857142857144</v>
      </c>
      <c r="K6" s="2">
        <f t="shared" si="0"/>
        <v>5.7534246575342465E-2</v>
      </c>
      <c r="L6" s="42" t="s">
        <v>1054</v>
      </c>
      <c r="M6" s="83" t="s">
        <v>1055</v>
      </c>
    </row>
    <row r="7" spans="1:13" ht="45" x14ac:dyDescent="0.25">
      <c r="A7" s="77" t="s">
        <v>39</v>
      </c>
      <c r="B7" s="33">
        <v>8.1999999999999993</v>
      </c>
      <c r="C7" s="33" t="s">
        <v>67</v>
      </c>
      <c r="D7" s="77" t="s">
        <v>40</v>
      </c>
      <c r="E7" s="1" t="s">
        <v>41</v>
      </c>
      <c r="F7" s="81" t="s">
        <v>42</v>
      </c>
      <c r="G7" s="86">
        <v>0</v>
      </c>
      <c r="H7" s="96">
        <v>1</v>
      </c>
      <c r="I7" s="87">
        <v>1</v>
      </c>
      <c r="J7" s="89">
        <f>365/84</f>
        <v>4.3452380952380949</v>
      </c>
      <c r="K7" s="86">
        <f t="shared" si="0"/>
        <v>0</v>
      </c>
      <c r="L7" s="77" t="s">
        <v>1056</v>
      </c>
      <c r="M7" s="60" t="s">
        <v>1057</v>
      </c>
    </row>
    <row r="8" spans="1:13" ht="78.75" x14ac:dyDescent="0.25">
      <c r="A8" s="77" t="s">
        <v>39</v>
      </c>
      <c r="B8" s="42">
        <v>8.1999999999999993</v>
      </c>
      <c r="C8" s="33" t="s">
        <v>67</v>
      </c>
      <c r="D8" s="1" t="s">
        <v>40</v>
      </c>
      <c r="E8" s="1" t="s">
        <v>43</v>
      </c>
      <c r="F8" s="81" t="s">
        <v>42</v>
      </c>
      <c r="G8" s="86">
        <v>13</v>
      </c>
      <c r="H8" s="96">
        <v>1</v>
      </c>
      <c r="I8" s="87">
        <v>2</v>
      </c>
      <c r="J8" s="89">
        <v>4.3452380952380949</v>
      </c>
      <c r="K8" s="2">
        <f t="shared" si="0"/>
        <v>5.9835616438356167</v>
      </c>
      <c r="L8" s="60" t="s">
        <v>1058</v>
      </c>
      <c r="M8" s="60" t="s">
        <v>1059</v>
      </c>
    </row>
    <row r="9" spans="1:13" ht="72" customHeight="1" x14ac:dyDescent="0.25">
      <c r="A9" s="54" t="s">
        <v>39</v>
      </c>
      <c r="B9" s="42">
        <v>8.3000000000000007</v>
      </c>
      <c r="C9" s="33" t="s">
        <v>67</v>
      </c>
      <c r="D9" s="28" t="s">
        <v>40</v>
      </c>
      <c r="E9" s="42" t="s">
        <v>44</v>
      </c>
      <c r="F9" s="52" t="s">
        <v>1029</v>
      </c>
      <c r="G9" s="86">
        <v>28</v>
      </c>
      <c r="H9" s="96">
        <v>1</v>
      </c>
      <c r="I9" s="87">
        <v>1</v>
      </c>
      <c r="J9" s="89">
        <f>365/84</f>
        <v>4.3452380952380949</v>
      </c>
      <c r="K9" s="2">
        <f t="shared" si="0"/>
        <v>6.4438356164383563</v>
      </c>
      <c r="L9" s="60" t="s">
        <v>1030</v>
      </c>
      <c r="M9" s="74" t="s">
        <v>1031</v>
      </c>
    </row>
    <row r="10" spans="1:13" ht="22.5" x14ac:dyDescent="0.25">
      <c r="A10" s="54" t="s">
        <v>39</v>
      </c>
      <c r="B10" s="49">
        <v>12.7</v>
      </c>
      <c r="C10" s="1" t="s">
        <v>1152</v>
      </c>
      <c r="D10" s="1" t="s">
        <v>1153</v>
      </c>
      <c r="E10" s="1" t="s">
        <v>1153</v>
      </c>
      <c r="F10" s="77"/>
      <c r="G10" s="79">
        <v>4150</v>
      </c>
      <c r="I10" s="77">
        <v>2</v>
      </c>
      <c r="J10" s="89">
        <f>365/7*25</f>
        <v>1303.5714285714287</v>
      </c>
      <c r="K10" s="2">
        <f t="shared" si="0"/>
        <v>6.367123287671232</v>
      </c>
      <c r="L10" s="2"/>
      <c r="M10" s="77" t="s">
        <v>1154</v>
      </c>
    </row>
    <row r="11" spans="1:13" x14ac:dyDescent="0.25">
      <c r="A11" s="111"/>
      <c r="B11" s="49"/>
      <c r="C11" s="1"/>
      <c r="D11" s="1"/>
      <c r="E11" s="1"/>
      <c r="F11" s="77"/>
      <c r="G11" s="77"/>
      <c r="H11" s="79"/>
      <c r="I11" s="77"/>
      <c r="J11" s="77"/>
      <c r="K11" s="2"/>
      <c r="L11" s="2"/>
      <c r="M11" s="77"/>
    </row>
    <row r="12" spans="1:13" x14ac:dyDescent="0.25">
      <c r="F12" s="46" t="s">
        <v>986</v>
      </c>
      <c r="G12" s="48">
        <f>K5</f>
        <v>2.298850574712644</v>
      </c>
    </row>
    <row r="13" spans="1:13" x14ac:dyDescent="0.25">
      <c r="F13" s="46" t="s">
        <v>987</v>
      </c>
      <c r="G13" s="48">
        <f>SUM(K6:K9)</f>
        <v>12.484931506849316</v>
      </c>
    </row>
    <row r="14" spans="1:13" x14ac:dyDescent="0.25">
      <c r="F14" s="46"/>
    </row>
    <row r="15" spans="1:13" x14ac:dyDescent="0.25">
      <c r="F15" s="46"/>
    </row>
  </sheetData>
  <phoneticPr fontId="23" type="noConversion"/>
  <printOptions gridLines="1"/>
  <pageMargins left="0.7" right="0.7" top="0.75" bottom="0.75" header="0.3" footer="0.3"/>
  <pageSetup paperSize="9" scale="8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M68"/>
  <sheetViews>
    <sheetView view="pageBreakPreview" zoomScale="115" zoomScaleNormal="115" zoomScaleSheetLayoutView="115" workbookViewId="0"/>
  </sheetViews>
  <sheetFormatPr defaultColWidth="8.85546875" defaultRowHeight="15" x14ac:dyDescent="0.25"/>
  <cols>
    <col min="1" max="1" width="6.28515625" customWidth="1"/>
    <col min="2" max="2" width="6.7109375" customWidth="1"/>
    <col min="3" max="3" width="6.140625" customWidth="1"/>
    <col min="4" max="4" width="11.42578125" customWidth="1"/>
    <col min="5" max="5" width="12.42578125" customWidth="1"/>
    <col min="6" max="6" width="9.85546875" customWidth="1"/>
    <col min="7" max="7" width="6.42578125" customWidth="1"/>
    <col min="8" max="8" width="5.85546875" customWidth="1"/>
    <col min="9" max="9" width="7.7109375" customWidth="1"/>
    <col min="10" max="10" width="8.28515625" customWidth="1"/>
    <col min="11" max="11" width="7.28515625" customWidth="1"/>
    <col min="12" max="12" width="30" customWidth="1"/>
    <col min="13" max="13" width="32.42578125" customWidth="1"/>
    <col min="14" max="14" width="17" customWidth="1"/>
  </cols>
  <sheetData>
    <row r="1" spans="1:13" ht="15.75" x14ac:dyDescent="0.25">
      <c r="A1" s="7" t="s">
        <v>1275</v>
      </c>
      <c r="B1" s="40"/>
      <c r="C1" s="77"/>
      <c r="D1" s="77"/>
      <c r="E1" s="77"/>
      <c r="F1" s="77"/>
      <c r="G1" s="77"/>
      <c r="H1" s="77"/>
      <c r="I1" s="77"/>
      <c r="J1" s="77"/>
      <c r="K1" s="77"/>
      <c r="L1" s="1"/>
      <c r="M1" s="77"/>
    </row>
    <row r="2" spans="1:13" x14ac:dyDescent="0.25">
      <c r="A2" s="112" t="s">
        <v>451</v>
      </c>
      <c r="B2" s="40"/>
      <c r="C2" s="112"/>
      <c r="D2" s="23"/>
      <c r="E2" s="23"/>
      <c r="F2" s="23"/>
      <c r="G2" s="23"/>
      <c r="H2" s="113"/>
      <c r="I2" s="23"/>
      <c r="J2" s="23"/>
      <c r="K2" s="23"/>
      <c r="L2" s="23"/>
      <c r="M2" s="23"/>
    </row>
    <row r="3" spans="1:13" x14ac:dyDescent="0.25">
      <c r="A3" s="80" t="s">
        <v>965</v>
      </c>
      <c r="B3" s="41"/>
      <c r="C3" s="60"/>
      <c r="D3" s="60"/>
      <c r="E3" s="60"/>
      <c r="F3" s="60"/>
      <c r="G3" s="60"/>
      <c r="H3" s="60"/>
      <c r="I3" s="60"/>
      <c r="J3" s="60"/>
      <c r="K3" s="60"/>
      <c r="L3" s="60"/>
      <c r="M3" s="60"/>
    </row>
    <row r="4" spans="1:13" ht="28.5" customHeight="1" x14ac:dyDescent="0.25">
      <c r="A4" s="17" t="s">
        <v>0</v>
      </c>
      <c r="B4" s="17" t="s">
        <v>1</v>
      </c>
      <c r="C4" s="17" t="s">
        <v>2</v>
      </c>
      <c r="D4" s="19" t="s">
        <v>3</v>
      </c>
      <c r="E4" s="19" t="s">
        <v>4</v>
      </c>
      <c r="F4" s="19" t="s">
        <v>6</v>
      </c>
      <c r="G4" s="51" t="s">
        <v>7</v>
      </c>
      <c r="H4" s="51" t="s">
        <v>8</v>
      </c>
      <c r="I4" s="19" t="s">
        <v>9</v>
      </c>
      <c r="J4" s="19" t="s">
        <v>10</v>
      </c>
      <c r="K4" s="51" t="s">
        <v>11</v>
      </c>
      <c r="L4" s="51" t="s">
        <v>12</v>
      </c>
      <c r="M4" s="55" t="s">
        <v>13</v>
      </c>
    </row>
    <row r="5" spans="1:13" ht="33.75" x14ac:dyDescent="0.25">
      <c r="A5" s="77" t="s">
        <v>16</v>
      </c>
      <c r="B5" s="33">
        <v>12.1</v>
      </c>
      <c r="C5" s="77" t="s">
        <v>67</v>
      </c>
      <c r="D5" s="28" t="s">
        <v>566</v>
      </c>
      <c r="E5" s="28" t="s">
        <v>461</v>
      </c>
      <c r="F5" s="77" t="s">
        <v>28</v>
      </c>
      <c r="G5" s="79">
        <v>1.0990740740740741</v>
      </c>
      <c r="H5" s="120">
        <v>1</v>
      </c>
      <c r="I5" s="120">
        <v>2</v>
      </c>
      <c r="J5" s="114">
        <f>365/84</f>
        <v>4.3452380952380949</v>
      </c>
      <c r="K5" s="79">
        <f t="shared" ref="K5:K62" si="0">G5*I5/J5</f>
        <v>0.50587519025875194</v>
      </c>
      <c r="L5" s="1" t="s">
        <v>487</v>
      </c>
      <c r="M5" s="1" t="s">
        <v>462</v>
      </c>
    </row>
    <row r="6" spans="1:13" ht="22.5" x14ac:dyDescent="0.25">
      <c r="A6" s="77" t="s">
        <v>16</v>
      </c>
      <c r="B6" s="33">
        <v>12.1</v>
      </c>
      <c r="C6" s="77" t="s">
        <v>67</v>
      </c>
      <c r="D6" s="28" t="s">
        <v>566</v>
      </c>
      <c r="E6" s="28" t="s">
        <v>477</v>
      </c>
      <c r="F6" s="77" t="s">
        <v>27</v>
      </c>
      <c r="G6" s="79">
        <v>6.594444444444445</v>
      </c>
      <c r="H6" s="77">
        <v>1</v>
      </c>
      <c r="I6" s="77">
        <v>1</v>
      </c>
      <c r="J6" s="114">
        <f>365/7</f>
        <v>52.142857142857146</v>
      </c>
      <c r="K6" s="79">
        <f t="shared" si="0"/>
        <v>0.12646879756468798</v>
      </c>
      <c r="L6" s="1" t="s">
        <v>528</v>
      </c>
      <c r="M6" s="1" t="s">
        <v>463</v>
      </c>
    </row>
    <row r="7" spans="1:13" ht="33.75" x14ac:dyDescent="0.25">
      <c r="A7" s="77" t="s">
        <v>16</v>
      </c>
      <c r="B7" s="33">
        <v>12.1</v>
      </c>
      <c r="C7" s="77" t="s">
        <v>67</v>
      </c>
      <c r="D7" s="28" t="s">
        <v>566</v>
      </c>
      <c r="E7" s="28" t="s">
        <v>453</v>
      </c>
      <c r="F7" s="77" t="s">
        <v>28</v>
      </c>
      <c r="G7" s="79">
        <v>3.1323611111111114</v>
      </c>
      <c r="H7" s="120">
        <v>4</v>
      </c>
      <c r="I7" s="120">
        <v>1</v>
      </c>
      <c r="J7" s="114">
        <v>1</v>
      </c>
      <c r="K7" s="79">
        <f t="shared" si="0"/>
        <v>3.1323611111111114</v>
      </c>
      <c r="L7" s="1" t="s">
        <v>567</v>
      </c>
      <c r="M7" s="1" t="s">
        <v>454</v>
      </c>
    </row>
    <row r="8" spans="1:13" ht="33.75" x14ac:dyDescent="0.25">
      <c r="A8" s="77" t="s">
        <v>16</v>
      </c>
      <c r="B8" s="33">
        <v>12.1</v>
      </c>
      <c r="C8" s="77" t="s">
        <v>67</v>
      </c>
      <c r="D8" s="28" t="s">
        <v>483</v>
      </c>
      <c r="E8" s="14" t="s">
        <v>452</v>
      </c>
      <c r="F8" s="1" t="s">
        <v>485</v>
      </c>
      <c r="G8" s="79">
        <v>16.475120370370369</v>
      </c>
      <c r="H8" s="77">
        <v>1</v>
      </c>
      <c r="I8" s="77">
        <v>1</v>
      </c>
      <c r="J8" s="114">
        <f>365/7*10</f>
        <v>521.42857142857144</v>
      </c>
      <c r="K8" s="79">
        <f t="shared" si="0"/>
        <v>3.1596121258244542E-2</v>
      </c>
      <c r="L8" s="1" t="s">
        <v>568</v>
      </c>
      <c r="M8" s="1" t="s">
        <v>486</v>
      </c>
    </row>
    <row r="9" spans="1:13" ht="22.5" x14ac:dyDescent="0.25">
      <c r="A9" s="77" t="s">
        <v>16</v>
      </c>
      <c r="B9" s="33">
        <v>12.1</v>
      </c>
      <c r="C9" s="77" t="s">
        <v>67</v>
      </c>
      <c r="D9" s="28" t="s">
        <v>483</v>
      </c>
      <c r="E9" s="28" t="s">
        <v>484</v>
      </c>
      <c r="F9" s="1"/>
      <c r="G9" s="79">
        <v>100</v>
      </c>
      <c r="H9" s="77">
        <v>1</v>
      </c>
      <c r="I9" s="77">
        <v>1</v>
      </c>
      <c r="J9" s="114">
        <v>6</v>
      </c>
      <c r="K9" s="79">
        <f>G9*I9/J9</f>
        <v>16.666666666666668</v>
      </c>
      <c r="L9" s="1" t="s">
        <v>1066</v>
      </c>
      <c r="M9" s="1"/>
    </row>
    <row r="10" spans="1:13" ht="22.5" x14ac:dyDescent="0.25">
      <c r="A10" s="77" t="s">
        <v>16</v>
      </c>
      <c r="B10" s="33">
        <v>12.1</v>
      </c>
      <c r="C10" s="77" t="s">
        <v>67</v>
      </c>
      <c r="D10" s="28" t="s">
        <v>483</v>
      </c>
      <c r="E10" s="28" t="s">
        <v>1074</v>
      </c>
      <c r="F10" s="1"/>
      <c r="G10" s="2">
        <v>50</v>
      </c>
      <c r="H10" s="3"/>
      <c r="I10" s="3">
        <v>1</v>
      </c>
      <c r="J10" s="6">
        <v>6</v>
      </c>
      <c r="K10" s="79">
        <f t="shared" si="0"/>
        <v>8.3333333333333339</v>
      </c>
      <c r="L10" s="1" t="s">
        <v>1075</v>
      </c>
      <c r="M10" s="117"/>
    </row>
    <row r="11" spans="1:13" ht="22.5" x14ac:dyDescent="0.25">
      <c r="A11" s="77" t="s">
        <v>16</v>
      </c>
      <c r="B11" s="33">
        <v>12.1</v>
      </c>
      <c r="C11" s="77" t="s">
        <v>67</v>
      </c>
      <c r="D11" s="28" t="s">
        <v>483</v>
      </c>
      <c r="E11" s="28" t="s">
        <v>488</v>
      </c>
      <c r="F11" s="1" t="s">
        <v>28</v>
      </c>
      <c r="G11" s="79">
        <v>2.7476851851851856</v>
      </c>
      <c r="H11" s="77">
        <v>20</v>
      </c>
      <c r="I11" s="77">
        <v>1</v>
      </c>
      <c r="J11" s="114">
        <f>20/14</f>
        <v>1.4285714285714286</v>
      </c>
      <c r="K11" s="79">
        <f t="shared" si="0"/>
        <v>1.9233796296296299</v>
      </c>
      <c r="L11" s="1" t="s">
        <v>489</v>
      </c>
      <c r="M11" s="1" t="s">
        <v>490</v>
      </c>
    </row>
    <row r="12" spans="1:13" ht="33.75" x14ac:dyDescent="0.25">
      <c r="A12" s="77" t="s">
        <v>16</v>
      </c>
      <c r="B12" s="33">
        <v>12.1</v>
      </c>
      <c r="C12" s="77" t="s">
        <v>67</v>
      </c>
      <c r="D12" s="28" t="s">
        <v>483</v>
      </c>
      <c r="E12" s="28" t="s">
        <v>469</v>
      </c>
      <c r="F12" s="77" t="s">
        <v>28</v>
      </c>
      <c r="G12" s="79">
        <v>1.6376203703703702</v>
      </c>
      <c r="H12" s="120">
        <v>1</v>
      </c>
      <c r="I12" s="120">
        <v>1</v>
      </c>
      <c r="J12" s="114">
        <f>365/84</f>
        <v>4.3452380952380949</v>
      </c>
      <c r="K12" s="79">
        <f t="shared" si="0"/>
        <v>0.37687701674277019</v>
      </c>
      <c r="L12" s="1" t="s">
        <v>491</v>
      </c>
      <c r="M12" s="1" t="s">
        <v>455</v>
      </c>
    </row>
    <row r="13" spans="1:13" ht="22.5" x14ac:dyDescent="0.25">
      <c r="A13" s="77" t="s">
        <v>16</v>
      </c>
      <c r="B13" s="33">
        <v>12.1</v>
      </c>
      <c r="C13" s="77" t="s">
        <v>67</v>
      </c>
      <c r="D13" s="28" t="s">
        <v>483</v>
      </c>
      <c r="E13" s="28" t="s">
        <v>471</v>
      </c>
      <c r="F13" s="1" t="s">
        <v>28</v>
      </c>
      <c r="G13" s="79">
        <v>1.9233796296296297</v>
      </c>
      <c r="H13" s="77">
        <v>4</v>
      </c>
      <c r="I13" s="77">
        <v>1</v>
      </c>
      <c r="J13" s="114">
        <f>365/84*6</f>
        <v>26.071428571428569</v>
      </c>
      <c r="K13" s="79">
        <f t="shared" si="0"/>
        <v>7.3773465246067996E-2</v>
      </c>
      <c r="L13" s="1" t="s">
        <v>492</v>
      </c>
      <c r="M13" s="1" t="s">
        <v>493</v>
      </c>
    </row>
    <row r="14" spans="1:13" ht="45" x14ac:dyDescent="0.25">
      <c r="A14" s="77" t="s">
        <v>16</v>
      </c>
      <c r="B14" s="33">
        <v>12.1</v>
      </c>
      <c r="C14" s="77" t="s">
        <v>67</v>
      </c>
      <c r="D14" s="28" t="s">
        <v>483</v>
      </c>
      <c r="E14" s="28" t="s">
        <v>494</v>
      </c>
      <c r="F14" s="77" t="s">
        <v>28</v>
      </c>
      <c r="G14" s="79">
        <v>0.76935185185185184</v>
      </c>
      <c r="H14" s="82">
        <v>1</v>
      </c>
      <c r="I14" s="3">
        <v>1</v>
      </c>
      <c r="J14" s="114">
        <f>365/84*6</f>
        <v>26.071428571428569</v>
      </c>
      <c r="K14" s="79">
        <f t="shared" si="0"/>
        <v>2.9509386098427196E-2</v>
      </c>
      <c r="L14" s="1" t="s">
        <v>569</v>
      </c>
      <c r="M14" s="1" t="s">
        <v>495</v>
      </c>
    </row>
    <row r="15" spans="1:13" ht="22.5" x14ac:dyDescent="0.25">
      <c r="A15" s="77" t="s">
        <v>16</v>
      </c>
      <c r="B15" s="33">
        <v>12.1</v>
      </c>
      <c r="C15" s="77" t="s">
        <v>67</v>
      </c>
      <c r="D15" s="28" t="s">
        <v>483</v>
      </c>
      <c r="E15" s="28" t="s">
        <v>457</v>
      </c>
      <c r="F15" s="77" t="s">
        <v>28</v>
      </c>
      <c r="G15" s="79">
        <v>1.0880833333333333</v>
      </c>
      <c r="H15" s="120">
        <v>1</v>
      </c>
      <c r="I15" s="120">
        <v>1</v>
      </c>
      <c r="J15" s="114">
        <f>365/84</f>
        <v>4.3452380952380949</v>
      </c>
      <c r="K15" s="79">
        <f t="shared" si="0"/>
        <v>0.2504082191780822</v>
      </c>
      <c r="L15" s="1" t="s">
        <v>497</v>
      </c>
      <c r="M15" s="1" t="s">
        <v>458</v>
      </c>
    </row>
    <row r="16" spans="1:13" ht="22.5" x14ac:dyDescent="0.25">
      <c r="A16" s="77" t="s">
        <v>16</v>
      </c>
      <c r="B16" s="33">
        <v>12.1</v>
      </c>
      <c r="C16" s="77" t="s">
        <v>67</v>
      </c>
      <c r="D16" s="28" t="s">
        <v>483</v>
      </c>
      <c r="E16" s="28" t="s">
        <v>498</v>
      </c>
      <c r="F16" s="77" t="s">
        <v>465</v>
      </c>
      <c r="G16" s="79">
        <v>3.2862314814814821</v>
      </c>
      <c r="H16" s="82">
        <v>30</v>
      </c>
      <c r="I16" s="3">
        <v>1</v>
      </c>
      <c r="J16" s="114">
        <f>30/7</f>
        <v>4.2857142857142856</v>
      </c>
      <c r="K16" s="79">
        <f t="shared" si="0"/>
        <v>0.76678734567901252</v>
      </c>
      <c r="L16" s="1" t="s">
        <v>499</v>
      </c>
      <c r="M16" s="84" t="s">
        <v>500</v>
      </c>
    </row>
    <row r="17" spans="1:13" ht="22.5" x14ac:dyDescent="0.25">
      <c r="A17" s="77" t="s">
        <v>16</v>
      </c>
      <c r="B17" s="33">
        <v>12.1</v>
      </c>
      <c r="C17" s="77" t="s">
        <v>67</v>
      </c>
      <c r="D17" s="28" t="s">
        <v>483</v>
      </c>
      <c r="E17" s="28" t="s">
        <v>475</v>
      </c>
      <c r="F17" s="77" t="s">
        <v>28</v>
      </c>
      <c r="G17" s="79">
        <v>0.87925925925925941</v>
      </c>
      <c r="H17" s="120">
        <v>1</v>
      </c>
      <c r="I17" s="120">
        <v>1</v>
      </c>
      <c r="J17" s="114">
        <f>365/84</f>
        <v>4.3452380952380949</v>
      </c>
      <c r="K17" s="79">
        <f t="shared" si="0"/>
        <v>0.20235007610350081</v>
      </c>
      <c r="L17" s="1" t="s">
        <v>501</v>
      </c>
      <c r="M17" s="1" t="s">
        <v>456</v>
      </c>
    </row>
    <row r="18" spans="1:13" ht="22.5" x14ac:dyDescent="0.25">
      <c r="A18" s="77" t="s">
        <v>16</v>
      </c>
      <c r="B18" s="33">
        <v>12.1</v>
      </c>
      <c r="C18" s="77" t="s">
        <v>67</v>
      </c>
      <c r="D18" s="42" t="s">
        <v>20</v>
      </c>
      <c r="E18" s="28" t="s">
        <v>476</v>
      </c>
      <c r="F18" s="77" t="s">
        <v>74</v>
      </c>
      <c r="G18" s="2">
        <v>37.5</v>
      </c>
      <c r="H18" s="82">
        <v>1</v>
      </c>
      <c r="I18" s="82">
        <v>1</v>
      </c>
      <c r="J18" s="6">
        <f>365/7*3</f>
        <v>156.42857142857144</v>
      </c>
      <c r="K18" s="79">
        <f t="shared" si="0"/>
        <v>0.23972602739726026</v>
      </c>
      <c r="L18" s="1" t="s">
        <v>1069</v>
      </c>
      <c r="M18" s="98" t="s">
        <v>1070</v>
      </c>
    </row>
    <row r="19" spans="1:13" ht="22.5" x14ac:dyDescent="0.25">
      <c r="A19" s="77" t="s">
        <v>16</v>
      </c>
      <c r="B19" s="33">
        <v>12.1</v>
      </c>
      <c r="C19" s="77" t="s">
        <v>67</v>
      </c>
      <c r="D19" s="42" t="s">
        <v>20</v>
      </c>
      <c r="E19" s="28" t="s">
        <v>476</v>
      </c>
      <c r="F19" s="77" t="s">
        <v>74</v>
      </c>
      <c r="G19" s="2">
        <v>35</v>
      </c>
      <c r="H19" s="82">
        <v>8</v>
      </c>
      <c r="I19" s="82">
        <v>1</v>
      </c>
      <c r="J19" s="6">
        <f>365/84*24</f>
        <v>104.28571428571428</v>
      </c>
      <c r="K19" s="79">
        <f t="shared" si="0"/>
        <v>0.33561643835616439</v>
      </c>
      <c r="L19" s="1" t="s">
        <v>1071</v>
      </c>
      <c r="M19" s="98" t="s">
        <v>1072</v>
      </c>
    </row>
    <row r="20" spans="1:13" ht="33.75" x14ac:dyDescent="0.25">
      <c r="A20" s="77" t="s">
        <v>16</v>
      </c>
      <c r="B20" s="33">
        <v>12.1</v>
      </c>
      <c r="C20" s="77" t="s">
        <v>67</v>
      </c>
      <c r="D20" s="28" t="s">
        <v>483</v>
      </c>
      <c r="E20" s="28" t="s">
        <v>502</v>
      </c>
      <c r="F20" s="77" t="s">
        <v>28</v>
      </c>
      <c r="G20" s="79">
        <v>0.8792592592592593</v>
      </c>
      <c r="H20" s="82">
        <v>30</v>
      </c>
      <c r="I20" s="3">
        <v>1</v>
      </c>
      <c r="J20" s="114">
        <f>30/7</f>
        <v>4.2857142857142856</v>
      </c>
      <c r="K20" s="79">
        <f t="shared" si="0"/>
        <v>0.20516049382716051</v>
      </c>
      <c r="L20" s="1" t="s">
        <v>503</v>
      </c>
      <c r="M20" s="1" t="s">
        <v>504</v>
      </c>
    </row>
    <row r="21" spans="1:13" ht="22.5" x14ac:dyDescent="0.25">
      <c r="A21" s="77" t="s">
        <v>16</v>
      </c>
      <c r="B21" s="33">
        <v>12.1</v>
      </c>
      <c r="C21" s="77" t="s">
        <v>67</v>
      </c>
      <c r="D21" s="28" t="s">
        <v>483</v>
      </c>
      <c r="E21" s="28" t="s">
        <v>505</v>
      </c>
      <c r="F21" s="1" t="s">
        <v>21</v>
      </c>
      <c r="G21" s="79">
        <v>1.3738425925925926</v>
      </c>
      <c r="H21" s="77">
        <v>1</v>
      </c>
      <c r="I21" s="77">
        <v>1</v>
      </c>
      <c r="J21" s="114">
        <f>365/7*2</f>
        <v>104.28571428571429</v>
      </c>
      <c r="K21" s="79">
        <f t="shared" si="0"/>
        <v>1.3173833079654996E-2</v>
      </c>
      <c r="L21" s="1" t="s">
        <v>506</v>
      </c>
      <c r="M21" s="1" t="s">
        <v>507</v>
      </c>
    </row>
    <row r="22" spans="1:13" ht="22.5" x14ac:dyDescent="0.25">
      <c r="A22" s="77" t="s">
        <v>16</v>
      </c>
      <c r="B22" s="33">
        <v>12.1</v>
      </c>
      <c r="C22" s="77" t="s">
        <v>67</v>
      </c>
      <c r="D22" s="28" t="s">
        <v>483</v>
      </c>
      <c r="E22" s="28" t="s">
        <v>478</v>
      </c>
      <c r="F22" s="77" t="s">
        <v>28</v>
      </c>
      <c r="G22" s="79">
        <v>1.0990740740740741</v>
      </c>
      <c r="H22" s="120">
        <v>1</v>
      </c>
      <c r="I22" s="120">
        <v>1</v>
      </c>
      <c r="J22" s="114">
        <f>365/84</f>
        <v>4.3452380952380949</v>
      </c>
      <c r="K22" s="79">
        <f t="shared" si="0"/>
        <v>0.25293759512937597</v>
      </c>
      <c r="L22" s="1" t="s">
        <v>508</v>
      </c>
      <c r="M22" s="117" t="s">
        <v>509</v>
      </c>
    </row>
    <row r="23" spans="1:13" ht="22.5" x14ac:dyDescent="0.25">
      <c r="A23" s="77" t="s">
        <v>16</v>
      </c>
      <c r="B23" s="33">
        <v>12.1</v>
      </c>
      <c r="C23" s="77" t="s">
        <v>67</v>
      </c>
      <c r="D23" s="28" t="s">
        <v>483</v>
      </c>
      <c r="E23" s="28" t="s">
        <v>510</v>
      </c>
      <c r="F23" s="1" t="s">
        <v>28</v>
      </c>
      <c r="G23" s="79">
        <v>1.0990740740740741</v>
      </c>
      <c r="H23" s="77">
        <v>1</v>
      </c>
      <c r="I23" s="77">
        <v>1</v>
      </c>
      <c r="J23" s="114">
        <f>365/84*3</f>
        <v>13.035714285714285</v>
      </c>
      <c r="K23" s="79">
        <f t="shared" si="0"/>
        <v>8.4312531709791985E-2</v>
      </c>
      <c r="L23" s="1" t="s">
        <v>511</v>
      </c>
      <c r="M23" s="1" t="s">
        <v>512</v>
      </c>
    </row>
    <row r="24" spans="1:13" ht="22.5" x14ac:dyDescent="0.25">
      <c r="A24" s="77" t="s">
        <v>16</v>
      </c>
      <c r="B24" s="33">
        <v>12.1</v>
      </c>
      <c r="C24" s="77" t="s">
        <v>67</v>
      </c>
      <c r="D24" s="28" t="s">
        <v>483</v>
      </c>
      <c r="E24" s="28" t="s">
        <v>513</v>
      </c>
      <c r="F24" s="1" t="s">
        <v>28</v>
      </c>
      <c r="G24" s="79">
        <v>0.82430555555555551</v>
      </c>
      <c r="H24" s="77">
        <v>2</v>
      </c>
      <c r="I24" s="77">
        <v>1</v>
      </c>
      <c r="J24" s="114">
        <f>365/84*2</f>
        <v>8.6904761904761898</v>
      </c>
      <c r="K24" s="79">
        <f t="shared" si="0"/>
        <v>9.4851598173515989E-2</v>
      </c>
      <c r="L24" s="1" t="s">
        <v>514</v>
      </c>
      <c r="M24" s="98" t="s">
        <v>515</v>
      </c>
    </row>
    <row r="25" spans="1:13" ht="33.75" x14ac:dyDescent="0.25">
      <c r="A25" s="77" t="s">
        <v>16</v>
      </c>
      <c r="B25" s="33">
        <v>12.1</v>
      </c>
      <c r="C25" s="77" t="s">
        <v>67</v>
      </c>
      <c r="D25" s="28" t="s">
        <v>483</v>
      </c>
      <c r="E25" s="28" t="s">
        <v>480</v>
      </c>
      <c r="F25" s="1" t="s">
        <v>28</v>
      </c>
      <c r="G25" s="79">
        <v>1.9673425925925925</v>
      </c>
      <c r="H25" s="77">
        <v>1</v>
      </c>
      <c r="I25" s="77">
        <v>1</v>
      </c>
      <c r="J25" s="114">
        <f>365/84</f>
        <v>4.3452380952380949</v>
      </c>
      <c r="K25" s="79">
        <f t="shared" si="0"/>
        <v>0.45275829528158296</v>
      </c>
      <c r="L25" s="1" t="s">
        <v>491</v>
      </c>
      <c r="M25" s="1" t="s">
        <v>516</v>
      </c>
    </row>
    <row r="26" spans="1:13" ht="33.75" x14ac:dyDescent="0.25">
      <c r="A26" s="77" t="s">
        <v>16</v>
      </c>
      <c r="B26" s="33">
        <v>12.1</v>
      </c>
      <c r="C26" s="77" t="s">
        <v>67</v>
      </c>
      <c r="D26" s="28" t="s">
        <v>483</v>
      </c>
      <c r="E26" s="28" t="s">
        <v>517</v>
      </c>
      <c r="F26" s="1" t="s">
        <v>28</v>
      </c>
      <c r="G26" s="79">
        <v>1.9673425925925925</v>
      </c>
      <c r="H26" s="77">
        <v>1</v>
      </c>
      <c r="I26" s="77">
        <v>1</v>
      </c>
      <c r="J26" s="114">
        <f>365/84</f>
        <v>4.3452380952380949</v>
      </c>
      <c r="K26" s="79">
        <f t="shared" si="0"/>
        <v>0.45275829528158296</v>
      </c>
      <c r="L26" s="1" t="s">
        <v>491</v>
      </c>
      <c r="M26" s="1" t="s">
        <v>518</v>
      </c>
    </row>
    <row r="27" spans="1:13" ht="33.75" x14ac:dyDescent="0.25">
      <c r="A27" s="77" t="s">
        <v>16</v>
      </c>
      <c r="B27" s="33">
        <v>12.1</v>
      </c>
      <c r="C27" s="77" t="s">
        <v>67</v>
      </c>
      <c r="D27" s="28" t="s">
        <v>483</v>
      </c>
      <c r="E27" s="28" t="s">
        <v>519</v>
      </c>
      <c r="F27" s="1"/>
      <c r="G27" s="79">
        <v>10.99074074074074</v>
      </c>
      <c r="H27" s="77">
        <v>1</v>
      </c>
      <c r="I27" s="77">
        <v>1</v>
      </c>
      <c r="J27" s="114">
        <f>4.35*2</f>
        <v>8.6999999999999993</v>
      </c>
      <c r="K27" s="79">
        <f t="shared" si="0"/>
        <v>1.2633035334184761</v>
      </c>
      <c r="L27" s="1" t="s">
        <v>520</v>
      </c>
      <c r="M27" s="1"/>
    </row>
    <row r="28" spans="1:13" ht="22.5" x14ac:dyDescent="0.25">
      <c r="A28" s="77" t="s">
        <v>16</v>
      </c>
      <c r="B28" s="33">
        <v>12.1</v>
      </c>
      <c r="C28" s="77" t="s">
        <v>67</v>
      </c>
      <c r="D28" s="28" t="s">
        <v>483</v>
      </c>
      <c r="E28" s="28" t="s">
        <v>521</v>
      </c>
      <c r="F28" s="1" t="s">
        <v>50</v>
      </c>
      <c r="G28" s="79">
        <v>1.0990740740740741</v>
      </c>
      <c r="H28" s="77">
        <v>1</v>
      </c>
      <c r="I28" s="77">
        <v>1</v>
      </c>
      <c r="J28" s="114">
        <f>365/84</f>
        <v>4.3452380952380949</v>
      </c>
      <c r="K28" s="79">
        <f t="shared" si="0"/>
        <v>0.25293759512937597</v>
      </c>
      <c r="L28" s="1" t="s">
        <v>508</v>
      </c>
      <c r="M28" s="1" t="s">
        <v>522</v>
      </c>
    </row>
    <row r="29" spans="1:13" ht="33.75" x14ac:dyDescent="0.25">
      <c r="A29" s="77" t="s">
        <v>16</v>
      </c>
      <c r="B29" s="33">
        <v>12.1</v>
      </c>
      <c r="C29" s="77" t="s">
        <v>67</v>
      </c>
      <c r="D29" s="28" t="s">
        <v>483</v>
      </c>
      <c r="E29" s="28" t="s">
        <v>523</v>
      </c>
      <c r="F29" s="1" t="s">
        <v>28</v>
      </c>
      <c r="G29" s="79">
        <v>1.2089814814814814</v>
      </c>
      <c r="H29" s="77">
        <v>1</v>
      </c>
      <c r="I29" s="77">
        <v>1</v>
      </c>
      <c r="J29" s="114">
        <f>365/84</f>
        <v>4.3452380952380949</v>
      </c>
      <c r="K29" s="79">
        <f t="shared" si="0"/>
        <v>0.27823135464231358</v>
      </c>
      <c r="L29" s="1" t="s">
        <v>524</v>
      </c>
      <c r="M29" s="1" t="s">
        <v>525</v>
      </c>
    </row>
    <row r="30" spans="1:13" ht="22.5" x14ac:dyDescent="0.25">
      <c r="A30" s="77" t="s">
        <v>16</v>
      </c>
      <c r="B30" s="33">
        <v>12.1</v>
      </c>
      <c r="C30" s="77" t="s">
        <v>67</v>
      </c>
      <c r="D30" s="28" t="s">
        <v>483</v>
      </c>
      <c r="E30" s="28" t="s">
        <v>526</v>
      </c>
      <c r="F30" s="1" t="s">
        <v>28</v>
      </c>
      <c r="G30" s="79">
        <v>6.5944444444444441</v>
      </c>
      <c r="H30" s="77">
        <v>1</v>
      </c>
      <c r="I30" s="77">
        <v>1</v>
      </c>
      <c r="J30" s="114">
        <f>365/84</f>
        <v>4.3452380952380949</v>
      </c>
      <c r="K30" s="79">
        <f t="shared" si="0"/>
        <v>1.5176255707762558</v>
      </c>
      <c r="L30" s="1" t="s">
        <v>527</v>
      </c>
      <c r="M30" s="1" t="s">
        <v>467</v>
      </c>
    </row>
    <row r="31" spans="1:13" ht="33.75" x14ac:dyDescent="0.25">
      <c r="A31" s="77" t="s">
        <v>16</v>
      </c>
      <c r="B31" s="33">
        <v>12.1</v>
      </c>
      <c r="C31" s="77" t="s">
        <v>67</v>
      </c>
      <c r="D31" s="28" t="s">
        <v>483</v>
      </c>
      <c r="E31" s="28" t="s">
        <v>459</v>
      </c>
      <c r="F31" s="77" t="s">
        <v>28</v>
      </c>
      <c r="G31" s="79">
        <v>0.54953703703703716</v>
      </c>
      <c r="H31" s="77">
        <v>1</v>
      </c>
      <c r="I31" s="77">
        <v>1</v>
      </c>
      <c r="J31" s="114">
        <f>365/7*5</f>
        <v>260.71428571428572</v>
      </c>
      <c r="K31" s="79">
        <f t="shared" si="0"/>
        <v>2.1078132927447998E-3</v>
      </c>
      <c r="L31" s="1" t="s">
        <v>962</v>
      </c>
      <c r="M31" s="1" t="s">
        <v>460</v>
      </c>
    </row>
    <row r="32" spans="1:13" ht="33.75" x14ac:dyDescent="0.25">
      <c r="A32" s="77" t="s">
        <v>16</v>
      </c>
      <c r="B32" s="33">
        <v>12.1</v>
      </c>
      <c r="C32" s="77" t="s">
        <v>67</v>
      </c>
      <c r="D32" s="28" t="s">
        <v>483</v>
      </c>
      <c r="E32" s="28" t="s">
        <v>529</v>
      </c>
      <c r="F32" s="1" t="s">
        <v>28</v>
      </c>
      <c r="G32" s="79">
        <v>5.4953703703703702</v>
      </c>
      <c r="H32" s="77">
        <v>1</v>
      </c>
      <c r="I32" s="77">
        <v>1</v>
      </c>
      <c r="J32" s="114">
        <f>365/7*5</f>
        <v>260.71428571428572</v>
      </c>
      <c r="K32" s="79">
        <f t="shared" si="0"/>
        <v>2.1078132927447996E-2</v>
      </c>
      <c r="L32" s="1" t="s">
        <v>530</v>
      </c>
      <c r="M32" s="98" t="s">
        <v>531</v>
      </c>
    </row>
    <row r="33" spans="1:13" x14ac:dyDescent="0.25">
      <c r="A33" s="77" t="s">
        <v>16</v>
      </c>
      <c r="B33" s="33">
        <v>12.1</v>
      </c>
      <c r="C33" s="77" t="s">
        <v>67</v>
      </c>
      <c r="D33" s="28" t="s">
        <v>20</v>
      </c>
      <c r="E33" s="28" t="s">
        <v>464</v>
      </c>
      <c r="F33" s="77"/>
      <c r="G33" s="79">
        <v>0</v>
      </c>
      <c r="H33" s="77">
        <v>0</v>
      </c>
      <c r="I33" s="77">
        <v>0</v>
      </c>
      <c r="J33" s="114">
        <f>365/7*10</f>
        <v>521.42857142857144</v>
      </c>
      <c r="K33" s="79">
        <f t="shared" si="0"/>
        <v>0</v>
      </c>
      <c r="L33" s="1" t="s">
        <v>532</v>
      </c>
      <c r="M33" s="1" t="s">
        <v>533</v>
      </c>
    </row>
    <row r="34" spans="1:13" ht="22.5" x14ac:dyDescent="0.25">
      <c r="A34" s="77" t="s">
        <v>16</v>
      </c>
      <c r="B34" s="33">
        <v>12.1</v>
      </c>
      <c r="C34" s="77" t="s">
        <v>67</v>
      </c>
      <c r="D34" s="28" t="s">
        <v>20</v>
      </c>
      <c r="E34" s="28" t="s">
        <v>534</v>
      </c>
      <c r="F34" s="1" t="s">
        <v>465</v>
      </c>
      <c r="G34" s="79">
        <v>4.385305555555556</v>
      </c>
      <c r="H34" s="77">
        <v>1</v>
      </c>
      <c r="I34" s="77">
        <v>1</v>
      </c>
      <c r="J34" s="114">
        <f>365/7*3</f>
        <v>156.42857142857144</v>
      </c>
      <c r="K34" s="79">
        <f t="shared" si="0"/>
        <v>2.8033916793505833E-2</v>
      </c>
      <c r="L34" s="1" t="s">
        <v>535</v>
      </c>
      <c r="M34" s="84" t="s">
        <v>536</v>
      </c>
    </row>
    <row r="35" spans="1:13" ht="33.75" x14ac:dyDescent="0.25">
      <c r="A35" s="77" t="s">
        <v>16</v>
      </c>
      <c r="B35" s="33">
        <v>12.1</v>
      </c>
      <c r="C35" s="77" t="s">
        <v>67</v>
      </c>
      <c r="D35" s="28" t="s">
        <v>483</v>
      </c>
      <c r="E35" s="28" t="s">
        <v>537</v>
      </c>
      <c r="F35" s="1" t="s">
        <v>27</v>
      </c>
      <c r="G35" s="79">
        <v>2.4729166666666664</v>
      </c>
      <c r="H35" s="77">
        <v>1</v>
      </c>
      <c r="I35" s="77">
        <v>1</v>
      </c>
      <c r="J35" s="114">
        <f>365/7*10</f>
        <v>521.42857142857144</v>
      </c>
      <c r="K35" s="79">
        <f t="shared" si="0"/>
        <v>4.7425799086757989E-3</v>
      </c>
      <c r="L35" s="1" t="s">
        <v>538</v>
      </c>
      <c r="M35" s="1" t="s">
        <v>539</v>
      </c>
    </row>
    <row r="36" spans="1:13" x14ac:dyDescent="0.25">
      <c r="A36" s="77" t="s">
        <v>16</v>
      </c>
      <c r="B36" s="33">
        <v>12.1</v>
      </c>
      <c r="C36" s="77" t="s">
        <v>67</v>
      </c>
      <c r="D36" s="28" t="s">
        <v>20</v>
      </c>
      <c r="E36" s="28" t="s">
        <v>540</v>
      </c>
      <c r="F36" s="1"/>
      <c r="G36" s="2">
        <v>15</v>
      </c>
      <c r="H36" s="3">
        <v>1</v>
      </c>
      <c r="I36" s="3">
        <v>1</v>
      </c>
      <c r="J36" s="6">
        <f>365/84</f>
        <v>4.3452380952380949</v>
      </c>
      <c r="K36" s="79">
        <f t="shared" si="0"/>
        <v>3.4520547945205484</v>
      </c>
      <c r="L36" s="1" t="s">
        <v>1073</v>
      </c>
      <c r="M36" s="117"/>
    </row>
    <row r="37" spans="1:13" ht="22.5" x14ac:dyDescent="0.25">
      <c r="A37" s="77" t="s">
        <v>16</v>
      </c>
      <c r="B37" s="33">
        <v>12.1</v>
      </c>
      <c r="C37" s="77" t="s">
        <v>67</v>
      </c>
      <c r="D37" s="28" t="s">
        <v>483</v>
      </c>
      <c r="E37" s="28" t="s">
        <v>466</v>
      </c>
      <c r="F37" s="1"/>
      <c r="G37" s="79">
        <v>100</v>
      </c>
      <c r="H37" s="77">
        <v>1</v>
      </c>
      <c r="I37" s="77">
        <v>1</v>
      </c>
      <c r="J37" s="114">
        <f>365/7</f>
        <v>52.142857142857146</v>
      </c>
      <c r="K37" s="79">
        <f t="shared" si="0"/>
        <v>1.9178082191780821</v>
      </c>
      <c r="L37" s="38" t="s">
        <v>1068</v>
      </c>
      <c r="M37" s="84"/>
    </row>
    <row r="38" spans="1:13" ht="22.5" x14ac:dyDescent="0.25">
      <c r="A38" s="77" t="s">
        <v>16</v>
      </c>
      <c r="B38" s="33">
        <v>12.1</v>
      </c>
      <c r="C38" s="77" t="s">
        <v>67</v>
      </c>
      <c r="D38" s="42" t="s">
        <v>496</v>
      </c>
      <c r="E38" s="28" t="s">
        <v>570</v>
      </c>
      <c r="F38" s="1"/>
      <c r="G38" s="79">
        <v>10</v>
      </c>
      <c r="H38" s="77"/>
      <c r="I38" s="77">
        <v>1</v>
      </c>
      <c r="J38" s="114">
        <v>4.3499999999999996</v>
      </c>
      <c r="K38" s="79">
        <f t="shared" si="0"/>
        <v>2.298850574712644</v>
      </c>
      <c r="L38" s="1" t="s">
        <v>1067</v>
      </c>
      <c r="M38" s="117"/>
    </row>
    <row r="39" spans="1:13" ht="22.5" x14ac:dyDescent="0.25">
      <c r="A39" s="77" t="s">
        <v>16</v>
      </c>
      <c r="B39" s="33">
        <v>12.1</v>
      </c>
      <c r="C39" s="77" t="s">
        <v>67</v>
      </c>
      <c r="D39" s="28" t="s">
        <v>496</v>
      </c>
      <c r="E39" s="28" t="s">
        <v>1074</v>
      </c>
      <c r="F39" s="1"/>
      <c r="G39" s="2">
        <v>25</v>
      </c>
      <c r="H39" s="3"/>
      <c r="I39" s="3">
        <v>1</v>
      </c>
      <c r="J39" s="6">
        <v>6</v>
      </c>
      <c r="K39" s="79">
        <f t="shared" si="0"/>
        <v>4.166666666666667</v>
      </c>
      <c r="L39" s="1" t="s">
        <v>1076</v>
      </c>
      <c r="M39" s="117"/>
    </row>
    <row r="40" spans="1:13" ht="33.75" x14ac:dyDescent="0.25">
      <c r="A40" s="77" t="s">
        <v>16</v>
      </c>
      <c r="B40" s="33">
        <v>12.1</v>
      </c>
      <c r="C40" s="77" t="s">
        <v>67</v>
      </c>
      <c r="D40" s="42" t="s">
        <v>496</v>
      </c>
      <c r="E40" s="14" t="s">
        <v>452</v>
      </c>
      <c r="F40" s="1" t="s">
        <v>485</v>
      </c>
      <c r="G40" s="79">
        <v>16.475120370370369</v>
      </c>
      <c r="H40" s="77">
        <v>1</v>
      </c>
      <c r="I40" s="77">
        <v>1</v>
      </c>
      <c r="J40" s="114">
        <f>365/7*10</f>
        <v>521.42857142857144</v>
      </c>
      <c r="K40" s="79">
        <f t="shared" si="0"/>
        <v>3.1596121258244542E-2</v>
      </c>
      <c r="L40" s="1" t="s">
        <v>548</v>
      </c>
      <c r="M40" s="1" t="s">
        <v>486</v>
      </c>
    </row>
    <row r="41" spans="1:13" ht="45" x14ac:dyDescent="0.25">
      <c r="A41" s="77" t="s">
        <v>16</v>
      </c>
      <c r="B41" s="33">
        <v>12.1</v>
      </c>
      <c r="C41" s="77" t="s">
        <v>67</v>
      </c>
      <c r="D41" s="42" t="s">
        <v>496</v>
      </c>
      <c r="E41" s="28" t="s">
        <v>549</v>
      </c>
      <c r="F41" s="77" t="s">
        <v>28</v>
      </c>
      <c r="G41" s="79">
        <v>4.3962962962962964</v>
      </c>
      <c r="H41" s="82">
        <v>10</v>
      </c>
      <c r="I41" s="3">
        <v>2</v>
      </c>
      <c r="J41" s="114">
        <f>10/7</f>
        <v>1.4285714285714286</v>
      </c>
      <c r="K41" s="79">
        <f t="shared" si="0"/>
        <v>6.1548148148148147</v>
      </c>
      <c r="L41" s="1" t="s">
        <v>571</v>
      </c>
      <c r="M41" s="1" t="s">
        <v>550</v>
      </c>
    </row>
    <row r="42" spans="1:13" ht="22.5" x14ac:dyDescent="0.25">
      <c r="A42" s="77" t="s">
        <v>16</v>
      </c>
      <c r="B42" s="33">
        <v>12.1</v>
      </c>
      <c r="C42" s="77" t="s">
        <v>67</v>
      </c>
      <c r="D42" s="42" t="s">
        <v>496</v>
      </c>
      <c r="E42" s="28" t="s">
        <v>469</v>
      </c>
      <c r="F42" s="77" t="s">
        <v>28</v>
      </c>
      <c r="G42" s="79">
        <v>0.59350000000000003</v>
      </c>
      <c r="H42" s="77">
        <v>1</v>
      </c>
      <c r="I42" s="3">
        <v>1</v>
      </c>
      <c r="J42" s="114">
        <f>365/84</f>
        <v>4.3452380952380949</v>
      </c>
      <c r="K42" s="79">
        <f t="shared" si="0"/>
        <v>0.13658630136986302</v>
      </c>
      <c r="L42" s="1" t="s">
        <v>551</v>
      </c>
      <c r="M42" s="1" t="s">
        <v>470</v>
      </c>
    </row>
    <row r="43" spans="1:13" ht="22.5" x14ac:dyDescent="0.25">
      <c r="A43" s="77" t="s">
        <v>16</v>
      </c>
      <c r="B43" s="33">
        <v>12.1</v>
      </c>
      <c r="C43" s="77" t="s">
        <v>67</v>
      </c>
      <c r="D43" s="42" t="s">
        <v>496</v>
      </c>
      <c r="E43" s="28" t="s">
        <v>471</v>
      </c>
      <c r="F43" s="77" t="s">
        <v>28</v>
      </c>
      <c r="G43" s="79">
        <v>8.7925925925925945</v>
      </c>
      <c r="H43" s="77">
        <v>1</v>
      </c>
      <c r="I43" s="3">
        <v>1</v>
      </c>
      <c r="J43" s="114">
        <f>365/7*5</f>
        <v>260.71428571428572</v>
      </c>
      <c r="K43" s="79">
        <f t="shared" si="0"/>
        <v>3.3725012683916797E-2</v>
      </c>
      <c r="L43" s="1" t="s">
        <v>552</v>
      </c>
      <c r="M43" s="1" t="s">
        <v>472</v>
      </c>
    </row>
    <row r="44" spans="1:13" ht="22.5" x14ac:dyDescent="0.25">
      <c r="A44" s="77" t="s">
        <v>16</v>
      </c>
      <c r="B44" s="33">
        <v>12.1</v>
      </c>
      <c r="C44" s="77" t="s">
        <v>67</v>
      </c>
      <c r="D44" s="42" t="s">
        <v>496</v>
      </c>
      <c r="E44" s="28" t="s">
        <v>473</v>
      </c>
      <c r="F44" s="77" t="s">
        <v>28</v>
      </c>
      <c r="G44" s="79">
        <v>8.7925925925925927</v>
      </c>
      <c r="H44" s="77">
        <v>4</v>
      </c>
      <c r="I44" s="3">
        <v>1</v>
      </c>
      <c r="J44" s="114">
        <v>4</v>
      </c>
      <c r="K44" s="79">
        <f t="shared" si="0"/>
        <v>2.1981481481481482</v>
      </c>
      <c r="L44" s="1" t="s">
        <v>553</v>
      </c>
      <c r="M44" s="1" t="s">
        <v>474</v>
      </c>
    </row>
    <row r="45" spans="1:13" ht="22.5" x14ac:dyDescent="0.25">
      <c r="A45" s="77" t="s">
        <v>16</v>
      </c>
      <c r="B45" s="33">
        <v>12.1</v>
      </c>
      <c r="C45" s="77" t="s">
        <v>67</v>
      </c>
      <c r="D45" s="42" t="s">
        <v>496</v>
      </c>
      <c r="E45" s="28" t="s">
        <v>494</v>
      </c>
      <c r="F45" s="77" t="s">
        <v>28</v>
      </c>
      <c r="G45" s="79">
        <v>0.76935185185185184</v>
      </c>
      <c r="H45" s="82">
        <v>1</v>
      </c>
      <c r="I45" s="3">
        <v>1</v>
      </c>
      <c r="J45" s="114">
        <f>365/84*2</f>
        <v>8.6904761904761898</v>
      </c>
      <c r="K45" s="79">
        <f t="shared" si="0"/>
        <v>8.8528158295281587E-2</v>
      </c>
      <c r="L45" s="1" t="s">
        <v>554</v>
      </c>
      <c r="M45" s="1" t="s">
        <v>495</v>
      </c>
    </row>
    <row r="46" spans="1:13" ht="22.5" x14ac:dyDescent="0.25">
      <c r="A46" s="77" t="s">
        <v>16</v>
      </c>
      <c r="B46" s="33">
        <v>12.1</v>
      </c>
      <c r="C46" s="77" t="s">
        <v>67</v>
      </c>
      <c r="D46" s="42" t="s">
        <v>496</v>
      </c>
      <c r="E46" s="28" t="s">
        <v>498</v>
      </c>
      <c r="F46" s="77" t="s">
        <v>465</v>
      </c>
      <c r="G46" s="79">
        <v>3.2862314814814821</v>
      </c>
      <c r="H46" s="82">
        <v>30</v>
      </c>
      <c r="I46" s="3">
        <v>1</v>
      </c>
      <c r="J46" s="114">
        <f>30/7</f>
        <v>4.2857142857142856</v>
      </c>
      <c r="K46" s="79">
        <f t="shared" si="0"/>
        <v>0.76678734567901252</v>
      </c>
      <c r="L46" s="1" t="s">
        <v>499</v>
      </c>
      <c r="M46" s="84" t="s">
        <v>500</v>
      </c>
    </row>
    <row r="47" spans="1:13" ht="22.5" x14ac:dyDescent="0.25">
      <c r="A47" s="77" t="s">
        <v>16</v>
      </c>
      <c r="B47" s="33">
        <v>12.1</v>
      </c>
      <c r="C47" s="77" t="s">
        <v>67</v>
      </c>
      <c r="D47" s="42" t="s">
        <v>496</v>
      </c>
      <c r="E47" s="28" t="s">
        <v>475</v>
      </c>
      <c r="F47" s="77" t="s">
        <v>28</v>
      </c>
      <c r="G47" s="79">
        <v>0.87925925925925941</v>
      </c>
      <c r="H47" s="120">
        <v>1</v>
      </c>
      <c r="I47" s="120">
        <v>1</v>
      </c>
      <c r="J47" s="114">
        <f>365/84</f>
        <v>4.3452380952380949</v>
      </c>
      <c r="K47" s="79">
        <f t="shared" si="0"/>
        <v>0.20235007610350081</v>
      </c>
      <c r="L47" s="1" t="s">
        <v>555</v>
      </c>
      <c r="M47" s="1" t="s">
        <v>456</v>
      </c>
    </row>
    <row r="48" spans="1:13" ht="22.5" x14ac:dyDescent="0.25">
      <c r="A48" s="77" t="s">
        <v>16</v>
      </c>
      <c r="B48" s="33">
        <v>12.1</v>
      </c>
      <c r="C48" s="77" t="s">
        <v>67</v>
      </c>
      <c r="D48" s="42" t="s">
        <v>20</v>
      </c>
      <c r="E48" s="28" t="s">
        <v>476</v>
      </c>
      <c r="F48" s="77" t="s">
        <v>74</v>
      </c>
      <c r="G48" s="2">
        <v>37.5</v>
      </c>
      <c r="H48" s="82">
        <v>1</v>
      </c>
      <c r="I48" s="82">
        <v>1</v>
      </c>
      <c r="J48" s="6">
        <f>365/7*3</f>
        <v>156.42857142857144</v>
      </c>
      <c r="K48" s="79">
        <f t="shared" si="0"/>
        <v>0.23972602739726026</v>
      </c>
      <c r="L48" s="1" t="s">
        <v>1069</v>
      </c>
      <c r="M48" s="98" t="s">
        <v>1070</v>
      </c>
    </row>
    <row r="49" spans="1:13" ht="22.5" x14ac:dyDescent="0.25">
      <c r="A49" s="77" t="s">
        <v>16</v>
      </c>
      <c r="B49" s="33">
        <v>12.1</v>
      </c>
      <c r="C49" s="77" t="s">
        <v>67</v>
      </c>
      <c r="D49" s="42" t="s">
        <v>20</v>
      </c>
      <c r="E49" s="28" t="s">
        <v>476</v>
      </c>
      <c r="F49" s="77" t="s">
        <v>74</v>
      </c>
      <c r="G49" s="2">
        <v>35</v>
      </c>
      <c r="H49" s="82">
        <v>8</v>
      </c>
      <c r="I49" s="82">
        <v>1</v>
      </c>
      <c r="J49" s="6">
        <f>365/84*24</f>
        <v>104.28571428571428</v>
      </c>
      <c r="K49" s="79">
        <f t="shared" si="0"/>
        <v>0.33561643835616439</v>
      </c>
      <c r="L49" s="1" t="s">
        <v>1071</v>
      </c>
      <c r="M49" s="98" t="s">
        <v>1072</v>
      </c>
    </row>
    <row r="50" spans="1:13" ht="22.5" x14ac:dyDescent="0.25">
      <c r="A50" s="77" t="s">
        <v>16</v>
      </c>
      <c r="B50" s="33">
        <v>12.1</v>
      </c>
      <c r="C50" s="77" t="s">
        <v>67</v>
      </c>
      <c r="D50" s="42" t="s">
        <v>496</v>
      </c>
      <c r="E50" s="28" t="s">
        <v>457</v>
      </c>
      <c r="F50" s="77" t="s">
        <v>28</v>
      </c>
      <c r="G50" s="79">
        <v>1.0880833333333333</v>
      </c>
      <c r="H50" s="120">
        <v>1</v>
      </c>
      <c r="I50" s="120">
        <v>1</v>
      </c>
      <c r="J50" s="114">
        <f>365/84</f>
        <v>4.3452380952380949</v>
      </c>
      <c r="K50" s="79">
        <f t="shared" si="0"/>
        <v>0.2504082191780822</v>
      </c>
      <c r="L50" s="1" t="s">
        <v>497</v>
      </c>
      <c r="M50" s="1" t="s">
        <v>458</v>
      </c>
    </row>
    <row r="51" spans="1:13" ht="33.75" x14ac:dyDescent="0.25">
      <c r="A51" s="77" t="s">
        <v>16</v>
      </c>
      <c r="B51" s="33">
        <v>12.1</v>
      </c>
      <c r="C51" s="77" t="s">
        <v>67</v>
      </c>
      <c r="D51" s="42" t="s">
        <v>496</v>
      </c>
      <c r="E51" s="28" t="s">
        <v>502</v>
      </c>
      <c r="F51" s="77" t="s">
        <v>28</v>
      </c>
      <c r="G51" s="79">
        <v>0.8792592592592593</v>
      </c>
      <c r="H51" s="82">
        <v>30</v>
      </c>
      <c r="I51" s="3">
        <v>1</v>
      </c>
      <c r="J51" s="114">
        <f>30/7</f>
        <v>4.2857142857142856</v>
      </c>
      <c r="K51" s="79">
        <f t="shared" si="0"/>
        <v>0.20516049382716051</v>
      </c>
      <c r="L51" s="1" t="s">
        <v>503</v>
      </c>
      <c r="M51" s="1" t="s">
        <v>504</v>
      </c>
    </row>
    <row r="52" spans="1:13" ht="22.5" x14ac:dyDescent="0.25">
      <c r="A52" s="77" t="s">
        <v>16</v>
      </c>
      <c r="B52" s="33">
        <v>12.1</v>
      </c>
      <c r="C52" s="77" t="s">
        <v>67</v>
      </c>
      <c r="D52" s="42" t="s">
        <v>496</v>
      </c>
      <c r="E52" s="28" t="s">
        <v>478</v>
      </c>
      <c r="F52" s="77" t="s">
        <v>28</v>
      </c>
      <c r="G52" s="79">
        <v>1.0990740740740741</v>
      </c>
      <c r="H52" s="77">
        <v>1</v>
      </c>
      <c r="I52" s="3">
        <v>1</v>
      </c>
      <c r="J52" s="114">
        <f>365/84</f>
        <v>4.3452380952380949</v>
      </c>
      <c r="K52" s="79">
        <f t="shared" si="0"/>
        <v>0.25293759512937597</v>
      </c>
      <c r="L52" s="1" t="s">
        <v>556</v>
      </c>
      <c r="M52" s="1" t="s">
        <v>479</v>
      </c>
    </row>
    <row r="53" spans="1:13" ht="22.5" x14ac:dyDescent="0.25">
      <c r="A53" s="77" t="s">
        <v>16</v>
      </c>
      <c r="B53" s="33">
        <v>12.1</v>
      </c>
      <c r="C53" s="77" t="s">
        <v>67</v>
      </c>
      <c r="D53" s="42" t="s">
        <v>496</v>
      </c>
      <c r="E53" s="28" t="s">
        <v>557</v>
      </c>
      <c r="F53" s="77" t="s">
        <v>28</v>
      </c>
      <c r="G53" s="79">
        <v>3.0224537037037038</v>
      </c>
      <c r="H53" s="77">
        <v>1</v>
      </c>
      <c r="I53" s="3">
        <v>1</v>
      </c>
      <c r="J53" s="114">
        <f>365/84</f>
        <v>4.3452380952380949</v>
      </c>
      <c r="K53" s="79">
        <f t="shared" si="0"/>
        <v>0.69557838660578397</v>
      </c>
      <c r="L53" s="1" t="s">
        <v>556</v>
      </c>
      <c r="M53" s="98" t="s">
        <v>482</v>
      </c>
    </row>
    <row r="54" spans="1:13" ht="22.5" x14ac:dyDescent="0.25">
      <c r="A54" s="77" t="s">
        <v>16</v>
      </c>
      <c r="B54" s="33">
        <v>12.1</v>
      </c>
      <c r="C54" s="77" t="s">
        <v>67</v>
      </c>
      <c r="D54" s="42" t="s">
        <v>496</v>
      </c>
      <c r="E54" s="28" t="s">
        <v>513</v>
      </c>
      <c r="F54" s="1" t="s">
        <v>28</v>
      </c>
      <c r="G54" s="79">
        <v>0.82430555555555551</v>
      </c>
      <c r="H54" s="77">
        <v>2</v>
      </c>
      <c r="I54" s="77">
        <v>1</v>
      </c>
      <c r="J54" s="114">
        <f>365/84*2</f>
        <v>8.6904761904761898</v>
      </c>
      <c r="K54" s="79">
        <f t="shared" si="0"/>
        <v>9.4851598173515989E-2</v>
      </c>
      <c r="L54" s="1" t="s">
        <v>514</v>
      </c>
      <c r="M54" s="98" t="s">
        <v>515</v>
      </c>
    </row>
    <row r="55" spans="1:13" ht="22.5" x14ac:dyDescent="0.25">
      <c r="A55" s="77" t="s">
        <v>16</v>
      </c>
      <c r="B55" s="33">
        <v>12.1</v>
      </c>
      <c r="C55" s="77" t="s">
        <v>67</v>
      </c>
      <c r="D55" s="42" t="s">
        <v>496</v>
      </c>
      <c r="E55" s="28" t="s">
        <v>480</v>
      </c>
      <c r="F55" s="77" t="s">
        <v>28</v>
      </c>
      <c r="G55" s="79">
        <v>1.0441203703703703</v>
      </c>
      <c r="H55" s="77">
        <v>1</v>
      </c>
      <c r="I55" s="3">
        <v>1</v>
      </c>
      <c r="J55" s="114">
        <f>365/84</f>
        <v>4.3452380952380949</v>
      </c>
      <c r="K55" s="79">
        <f t="shared" si="0"/>
        <v>0.24029071537290717</v>
      </c>
      <c r="L55" s="1" t="s">
        <v>556</v>
      </c>
      <c r="M55" s="1" t="s">
        <v>481</v>
      </c>
    </row>
    <row r="56" spans="1:13" ht="22.5" x14ac:dyDescent="0.25">
      <c r="A56" s="77" t="s">
        <v>16</v>
      </c>
      <c r="B56" s="33">
        <v>12.1</v>
      </c>
      <c r="C56" s="77" t="s">
        <v>67</v>
      </c>
      <c r="D56" s="49" t="s">
        <v>496</v>
      </c>
      <c r="E56" s="28" t="s">
        <v>558</v>
      </c>
      <c r="F56" s="1" t="s">
        <v>28</v>
      </c>
      <c r="G56" s="79">
        <v>3.2972222222222221</v>
      </c>
      <c r="H56" s="77">
        <v>1</v>
      </c>
      <c r="I56" s="77">
        <v>1</v>
      </c>
      <c r="J56" s="114">
        <f>365/84*6</f>
        <v>26.071428571428569</v>
      </c>
      <c r="K56" s="79">
        <f t="shared" si="0"/>
        <v>0.12646879756468798</v>
      </c>
      <c r="L56" s="1" t="s">
        <v>559</v>
      </c>
      <c r="M56" s="98" t="s">
        <v>560</v>
      </c>
    </row>
    <row r="57" spans="1:13" ht="22.5" x14ac:dyDescent="0.25">
      <c r="A57" s="77" t="s">
        <v>16</v>
      </c>
      <c r="B57" s="33">
        <v>12.1</v>
      </c>
      <c r="C57" s="77" t="s">
        <v>67</v>
      </c>
      <c r="D57" s="49" t="s">
        <v>496</v>
      </c>
      <c r="E57" s="28" t="s">
        <v>510</v>
      </c>
      <c r="F57" s="1" t="s">
        <v>28</v>
      </c>
      <c r="G57" s="79">
        <v>1.0990740740740741</v>
      </c>
      <c r="H57" s="77">
        <v>1</v>
      </c>
      <c r="I57" s="77">
        <v>1</v>
      </c>
      <c r="J57" s="114">
        <f>365/84*3</f>
        <v>13.035714285714285</v>
      </c>
      <c r="K57" s="79">
        <f t="shared" si="0"/>
        <v>8.4312531709791985E-2</v>
      </c>
      <c r="L57" s="1" t="s">
        <v>511</v>
      </c>
      <c r="M57" s="1" t="s">
        <v>512</v>
      </c>
    </row>
    <row r="58" spans="1:13" ht="22.5" x14ac:dyDescent="0.25">
      <c r="A58" s="77" t="s">
        <v>16</v>
      </c>
      <c r="B58" s="33">
        <v>12.1</v>
      </c>
      <c r="C58" s="77" t="s">
        <v>67</v>
      </c>
      <c r="D58" s="42" t="s">
        <v>496</v>
      </c>
      <c r="E58" s="28" t="s">
        <v>459</v>
      </c>
      <c r="F58" s="77" t="s">
        <v>28</v>
      </c>
      <c r="G58" s="79">
        <v>0.54953703703703716</v>
      </c>
      <c r="H58" s="77">
        <v>1</v>
      </c>
      <c r="I58" s="77">
        <v>1</v>
      </c>
      <c r="J58" s="114">
        <f>365/7*10</f>
        <v>521.42857142857144</v>
      </c>
      <c r="K58" s="79">
        <f t="shared" si="0"/>
        <v>1.0539066463723999E-3</v>
      </c>
      <c r="L58" s="1" t="s">
        <v>561</v>
      </c>
      <c r="M58" s="1" t="s">
        <v>460</v>
      </c>
    </row>
    <row r="59" spans="1:13" ht="33.75" x14ac:dyDescent="0.25">
      <c r="A59" s="77" t="s">
        <v>16</v>
      </c>
      <c r="B59" s="33">
        <v>12.1</v>
      </c>
      <c r="C59" s="77" t="s">
        <v>67</v>
      </c>
      <c r="D59" s="28" t="s">
        <v>496</v>
      </c>
      <c r="E59" s="28" t="s">
        <v>529</v>
      </c>
      <c r="F59" s="1" t="s">
        <v>28</v>
      </c>
      <c r="G59" s="79">
        <v>5.4953703703703702</v>
      </c>
      <c r="H59" s="77">
        <v>1</v>
      </c>
      <c r="I59" s="77">
        <v>1</v>
      </c>
      <c r="J59" s="114">
        <f>365/7*5</f>
        <v>260.71428571428572</v>
      </c>
      <c r="K59" s="79">
        <f t="shared" si="0"/>
        <v>2.1078132927447996E-2</v>
      </c>
      <c r="L59" s="1" t="s">
        <v>562</v>
      </c>
      <c r="M59" s="98" t="s">
        <v>531</v>
      </c>
    </row>
    <row r="60" spans="1:13" ht="33.75" x14ac:dyDescent="0.25">
      <c r="A60" s="77" t="s">
        <v>16</v>
      </c>
      <c r="B60" s="33">
        <v>12.1</v>
      </c>
      <c r="C60" s="77" t="s">
        <v>67</v>
      </c>
      <c r="D60" s="28" t="s">
        <v>496</v>
      </c>
      <c r="E60" s="28" t="s">
        <v>537</v>
      </c>
      <c r="F60" s="1" t="s">
        <v>27</v>
      </c>
      <c r="G60" s="79">
        <v>2.4729166666666664</v>
      </c>
      <c r="H60" s="77">
        <v>1</v>
      </c>
      <c r="I60" s="77">
        <v>1</v>
      </c>
      <c r="J60" s="114">
        <f>365/7*10</f>
        <v>521.42857142857144</v>
      </c>
      <c r="K60" s="79">
        <f t="shared" si="0"/>
        <v>4.7425799086757989E-3</v>
      </c>
      <c r="L60" s="1" t="s">
        <v>538</v>
      </c>
      <c r="M60" s="1" t="s">
        <v>539</v>
      </c>
    </row>
    <row r="61" spans="1:13" ht="22.5" x14ac:dyDescent="0.25">
      <c r="A61" s="77" t="s">
        <v>16</v>
      </c>
      <c r="B61" s="33">
        <v>12.1</v>
      </c>
      <c r="C61" s="77" t="s">
        <v>67</v>
      </c>
      <c r="D61" s="28" t="s">
        <v>496</v>
      </c>
      <c r="E61" s="28" t="s">
        <v>464</v>
      </c>
      <c r="F61" s="77"/>
      <c r="G61" s="79">
        <v>0</v>
      </c>
      <c r="H61" s="77">
        <v>0</v>
      </c>
      <c r="I61" s="77">
        <v>0</v>
      </c>
      <c r="J61" s="114">
        <f>365/7*10</f>
        <v>521.42857142857144</v>
      </c>
      <c r="K61" s="79">
        <f t="shared" si="0"/>
        <v>0</v>
      </c>
      <c r="L61" s="1" t="s">
        <v>572</v>
      </c>
      <c r="M61" s="1" t="s">
        <v>533</v>
      </c>
    </row>
    <row r="62" spans="1:13" ht="22.5" x14ac:dyDescent="0.25">
      <c r="A62" s="77" t="s">
        <v>16</v>
      </c>
      <c r="B62" s="33">
        <v>12.1</v>
      </c>
      <c r="C62" s="77" t="s">
        <v>67</v>
      </c>
      <c r="D62" s="28" t="s">
        <v>496</v>
      </c>
      <c r="E62" s="28" t="s">
        <v>563</v>
      </c>
      <c r="F62" s="1" t="s">
        <v>485</v>
      </c>
      <c r="G62" s="79">
        <v>100</v>
      </c>
      <c r="H62" s="77">
        <v>1</v>
      </c>
      <c r="I62" s="77">
        <v>1</v>
      </c>
      <c r="J62" s="114">
        <f>365/7</f>
        <v>52.142857142857146</v>
      </c>
      <c r="K62" s="79">
        <f t="shared" si="0"/>
        <v>1.9178082191780821</v>
      </c>
      <c r="L62" s="38" t="s">
        <v>1068</v>
      </c>
      <c r="M62" s="84"/>
    </row>
    <row r="63" spans="1:13" ht="67.5" x14ac:dyDescent="0.25">
      <c r="A63" s="77" t="s">
        <v>16</v>
      </c>
      <c r="B63" s="33">
        <v>12.3</v>
      </c>
      <c r="C63" s="77" t="s">
        <v>67</v>
      </c>
      <c r="D63" s="28" t="s">
        <v>51</v>
      </c>
      <c r="E63" s="28" t="s">
        <v>541</v>
      </c>
      <c r="F63" s="1" t="s">
        <v>74</v>
      </c>
      <c r="G63" s="79">
        <v>46.719745222929937</v>
      </c>
      <c r="H63" s="77">
        <v>2</v>
      </c>
      <c r="I63" s="77">
        <v>2</v>
      </c>
      <c r="J63" s="114">
        <f>365/7*20</f>
        <v>1042.8571428571429</v>
      </c>
      <c r="K63" s="79">
        <f t="shared" ref="K63:K66" si="1">G63*I63/J63</f>
        <v>8.9599511386440969E-2</v>
      </c>
      <c r="L63" s="1" t="s">
        <v>573</v>
      </c>
      <c r="M63" s="1" t="s">
        <v>542</v>
      </c>
    </row>
    <row r="64" spans="1:13" ht="22.5" x14ac:dyDescent="0.25">
      <c r="A64" s="77" t="s">
        <v>16</v>
      </c>
      <c r="B64" s="33">
        <v>12.3</v>
      </c>
      <c r="C64" s="77" t="s">
        <v>67</v>
      </c>
      <c r="D64" s="28" t="s">
        <v>574</v>
      </c>
      <c r="E64" s="28" t="s">
        <v>543</v>
      </c>
      <c r="F64" s="1" t="s">
        <v>49</v>
      </c>
      <c r="G64" s="79">
        <v>5.1807006369426754</v>
      </c>
      <c r="H64" s="3">
        <v>1</v>
      </c>
      <c r="I64" s="77">
        <v>1</v>
      </c>
      <c r="J64" s="114">
        <f>365/7*4</f>
        <v>208.57142857142858</v>
      </c>
      <c r="K64" s="79">
        <f t="shared" si="1"/>
        <v>2.4838975656574471E-2</v>
      </c>
      <c r="L64" s="1" t="s">
        <v>544</v>
      </c>
      <c r="M64" s="1" t="s">
        <v>545</v>
      </c>
    </row>
    <row r="65" spans="1:13" x14ac:dyDescent="0.25">
      <c r="A65" s="77" t="s">
        <v>16</v>
      </c>
      <c r="B65" s="33">
        <v>12.3</v>
      </c>
      <c r="C65" s="77" t="s">
        <v>67</v>
      </c>
      <c r="D65" s="28" t="s">
        <v>51</v>
      </c>
      <c r="E65" s="1" t="s">
        <v>468</v>
      </c>
      <c r="F65" s="1" t="s">
        <v>27</v>
      </c>
      <c r="G65" s="79">
        <v>7.7866242038216553</v>
      </c>
      <c r="H65" s="77">
        <v>1</v>
      </c>
      <c r="I65" s="77">
        <v>1</v>
      </c>
      <c r="J65" s="114">
        <f>365/7*2</f>
        <v>104.28571428571429</v>
      </c>
      <c r="K65" s="79">
        <f t="shared" si="1"/>
        <v>7.4666259488700801E-2</v>
      </c>
      <c r="L65" s="1" t="s">
        <v>546</v>
      </c>
      <c r="M65" s="102" t="s">
        <v>547</v>
      </c>
    </row>
    <row r="66" spans="1:13" ht="22.5" x14ac:dyDescent="0.25">
      <c r="A66" s="77" t="s">
        <v>16</v>
      </c>
      <c r="B66" s="33">
        <v>12.3</v>
      </c>
      <c r="C66" s="77" t="s">
        <v>67</v>
      </c>
      <c r="D66" s="28" t="s">
        <v>575</v>
      </c>
      <c r="E66" s="28" t="s">
        <v>543</v>
      </c>
      <c r="F66" s="1" t="s">
        <v>49</v>
      </c>
      <c r="G66" s="79">
        <v>5.1807006369426754</v>
      </c>
      <c r="H66" s="77">
        <v>1</v>
      </c>
      <c r="I66" s="77">
        <v>1</v>
      </c>
      <c r="J66" s="114">
        <f>365/7*4</f>
        <v>208.57142857142858</v>
      </c>
      <c r="K66" s="79">
        <f t="shared" si="1"/>
        <v>2.4838975656574471E-2</v>
      </c>
      <c r="L66" s="1" t="s">
        <v>564</v>
      </c>
      <c r="M66" s="1" t="s">
        <v>565</v>
      </c>
    </row>
    <row r="68" spans="1:13" x14ac:dyDescent="0.25">
      <c r="E68" s="46" t="s">
        <v>1006</v>
      </c>
      <c r="F68" s="48">
        <f>SUM(K5:K66)</f>
        <v>64.050635561589459</v>
      </c>
    </row>
  </sheetData>
  <printOptions gridLines="1"/>
  <pageMargins left="0.7" right="0.7" top="0.75" bottom="0.75" header="0.3" footer="0.3"/>
  <pageSetup paperSize="9" scale="7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0"/>
  <sheetViews>
    <sheetView view="pageBreakPreview" zoomScaleNormal="85" zoomScaleSheetLayoutView="100" workbookViewId="0"/>
  </sheetViews>
  <sheetFormatPr defaultColWidth="8.85546875" defaultRowHeight="15" x14ac:dyDescent="0.25"/>
  <cols>
    <col min="1" max="1" width="5.85546875" customWidth="1"/>
    <col min="2" max="2" width="7.140625" customWidth="1"/>
    <col min="3" max="3" width="6.42578125" customWidth="1"/>
    <col min="5" max="5" width="15.28515625" customWidth="1"/>
    <col min="7" max="7" width="7.140625" customWidth="1"/>
    <col min="8" max="8" width="6.42578125" customWidth="1"/>
    <col min="9" max="9" width="7.7109375" customWidth="1"/>
    <col min="10" max="10" width="8.140625" customWidth="1"/>
    <col min="11" max="11" width="7.42578125" customWidth="1"/>
    <col min="12" max="12" width="33.140625" customWidth="1"/>
    <col min="13" max="13" width="38" customWidth="1"/>
    <col min="14" max="14" width="11.42578125" customWidth="1"/>
  </cols>
  <sheetData>
    <row r="1" spans="1:13" ht="15.75" x14ac:dyDescent="0.25">
      <c r="A1" s="7" t="s">
        <v>1275</v>
      </c>
      <c r="B1" s="40"/>
      <c r="C1" s="77"/>
      <c r="D1" s="77"/>
      <c r="E1" s="77"/>
      <c r="F1" s="77"/>
      <c r="G1" s="77"/>
      <c r="H1" s="77"/>
      <c r="I1" s="77"/>
      <c r="J1" s="77"/>
      <c r="K1" s="77"/>
      <c r="L1" s="1"/>
      <c r="M1" s="77"/>
    </row>
    <row r="2" spans="1:13" x14ac:dyDescent="0.25">
      <c r="A2" s="112" t="s">
        <v>14</v>
      </c>
      <c r="B2" s="40"/>
      <c r="C2" s="112"/>
      <c r="D2" s="23"/>
      <c r="E2" s="23"/>
      <c r="F2" s="23"/>
      <c r="G2" s="23"/>
      <c r="H2" s="113"/>
      <c r="I2" s="23"/>
      <c r="J2" s="23"/>
      <c r="K2" s="23"/>
      <c r="L2" s="23"/>
      <c r="M2" s="23"/>
    </row>
    <row r="3" spans="1:13" x14ac:dyDescent="0.25">
      <c r="A3" s="80" t="s">
        <v>963</v>
      </c>
      <c r="B3" s="41"/>
      <c r="C3" s="60"/>
      <c r="D3" s="60"/>
      <c r="E3" s="60"/>
      <c r="F3" s="60"/>
      <c r="G3" s="60"/>
      <c r="H3" s="60"/>
      <c r="I3" s="60"/>
      <c r="J3" s="60"/>
      <c r="K3" s="60"/>
      <c r="L3" s="60"/>
      <c r="M3" s="60"/>
    </row>
    <row r="4" spans="1:13" ht="22.5" x14ac:dyDescent="0.25">
      <c r="A4" s="17" t="s">
        <v>0</v>
      </c>
      <c r="B4" s="17" t="s">
        <v>1</v>
      </c>
      <c r="C4" s="17" t="s">
        <v>2</v>
      </c>
      <c r="D4" s="19" t="s">
        <v>3</v>
      </c>
      <c r="E4" s="19" t="s">
        <v>4</v>
      </c>
      <c r="F4" s="19" t="s">
        <v>6</v>
      </c>
      <c r="G4" s="51" t="s">
        <v>7</v>
      </c>
      <c r="H4" s="51" t="s">
        <v>8</v>
      </c>
      <c r="I4" s="19" t="s">
        <v>9</v>
      </c>
      <c r="J4" s="19" t="s">
        <v>10</v>
      </c>
      <c r="K4" s="51" t="s">
        <v>11</v>
      </c>
      <c r="L4" s="51" t="s">
        <v>12</v>
      </c>
      <c r="M4" s="19" t="s">
        <v>13</v>
      </c>
    </row>
    <row r="5" spans="1:13" ht="16.5" customHeight="1" x14ac:dyDescent="0.25">
      <c r="A5" s="77" t="s">
        <v>16</v>
      </c>
      <c r="B5" s="33">
        <v>6.2</v>
      </c>
      <c r="C5" s="77" t="s">
        <v>67</v>
      </c>
      <c r="D5" s="28" t="s">
        <v>15</v>
      </c>
      <c r="E5" s="42" t="s">
        <v>621</v>
      </c>
      <c r="F5" s="42"/>
      <c r="G5" s="86">
        <v>0</v>
      </c>
      <c r="H5" s="87">
        <v>1</v>
      </c>
      <c r="I5" s="3">
        <v>4</v>
      </c>
      <c r="J5" s="114">
        <f>365/7</f>
        <v>52.142857142857146</v>
      </c>
      <c r="K5" s="50">
        <f t="shared" ref="K5:K18" si="0">G5*I5/J5</f>
        <v>0</v>
      </c>
      <c r="L5" s="1" t="s">
        <v>624</v>
      </c>
      <c r="M5" s="42" t="s">
        <v>622</v>
      </c>
    </row>
    <row r="6" spans="1:13" ht="45" x14ac:dyDescent="0.25">
      <c r="A6" s="77" t="s">
        <v>16</v>
      </c>
      <c r="B6" s="33">
        <v>6.1</v>
      </c>
      <c r="C6" s="77" t="s">
        <v>67</v>
      </c>
      <c r="D6" s="28" t="s">
        <v>15</v>
      </c>
      <c r="E6" s="28" t="s">
        <v>17</v>
      </c>
      <c r="F6" s="1"/>
      <c r="G6" s="79">
        <v>216.1319890009166</v>
      </c>
      <c r="H6" s="77">
        <v>1</v>
      </c>
      <c r="I6" s="3">
        <v>2</v>
      </c>
      <c r="J6" s="114">
        <f>365/7*5</f>
        <v>260.71428571428572</v>
      </c>
      <c r="K6" s="50">
        <f t="shared" si="0"/>
        <v>1.6579988197330588</v>
      </c>
      <c r="L6" s="1" t="s">
        <v>636</v>
      </c>
      <c r="M6" s="115" t="s">
        <v>623</v>
      </c>
    </row>
    <row r="7" spans="1:13" ht="22.5" x14ac:dyDescent="0.25">
      <c r="A7" s="77" t="s">
        <v>16</v>
      </c>
      <c r="B7" s="33">
        <v>6.2</v>
      </c>
      <c r="C7" s="77" t="s">
        <v>67</v>
      </c>
      <c r="D7" s="28" t="s">
        <v>15</v>
      </c>
      <c r="E7" s="28" t="s">
        <v>18</v>
      </c>
      <c r="F7" s="116"/>
      <c r="G7" s="79">
        <v>24.792493744787325</v>
      </c>
      <c r="H7" s="77">
        <v>1</v>
      </c>
      <c r="I7" s="77">
        <v>4</v>
      </c>
      <c r="J7" s="114">
        <f>365/7</f>
        <v>52.142857142857146</v>
      </c>
      <c r="K7" s="50">
        <f t="shared" si="0"/>
        <v>1.9018899311069728</v>
      </c>
      <c r="L7" s="1" t="s">
        <v>637</v>
      </c>
      <c r="M7" s="1" t="s">
        <v>34</v>
      </c>
    </row>
    <row r="8" spans="1:13" ht="22.5" x14ac:dyDescent="0.25">
      <c r="A8" s="77" t="s">
        <v>16</v>
      </c>
      <c r="B8" s="33">
        <v>6.2</v>
      </c>
      <c r="C8" s="77" t="s">
        <v>67</v>
      </c>
      <c r="D8" s="28" t="s">
        <v>15</v>
      </c>
      <c r="E8" s="28" t="s">
        <v>19</v>
      </c>
      <c r="F8" s="1"/>
      <c r="G8" s="79">
        <v>294.5931609674729</v>
      </c>
      <c r="H8" s="77">
        <v>1</v>
      </c>
      <c r="I8" s="77">
        <v>2</v>
      </c>
      <c r="J8" s="114">
        <f>365/7*5</f>
        <v>260.71428571428572</v>
      </c>
      <c r="K8" s="50">
        <f t="shared" si="0"/>
        <v>2.2598927416682852</v>
      </c>
      <c r="L8" s="1" t="s">
        <v>638</v>
      </c>
      <c r="M8" s="1" t="s">
        <v>625</v>
      </c>
    </row>
    <row r="9" spans="1:13" x14ac:dyDescent="0.25">
      <c r="A9" s="77" t="s">
        <v>16</v>
      </c>
      <c r="B9" s="33">
        <v>6.2</v>
      </c>
      <c r="C9" s="77" t="s">
        <v>67</v>
      </c>
      <c r="D9" s="28" t="s">
        <v>15</v>
      </c>
      <c r="E9" s="28" t="s">
        <v>626</v>
      </c>
      <c r="F9" s="1"/>
      <c r="G9" s="2">
        <v>45</v>
      </c>
      <c r="H9" s="3">
        <v>1</v>
      </c>
      <c r="I9" s="3">
        <v>2</v>
      </c>
      <c r="J9" s="6">
        <f>365/84*2</f>
        <v>8.6904761904761898</v>
      </c>
      <c r="K9" s="2">
        <f t="shared" si="0"/>
        <v>10.356164383561644</v>
      </c>
      <c r="L9" s="1" t="s">
        <v>1272</v>
      </c>
      <c r="M9" s="117"/>
    </row>
    <row r="10" spans="1:13" ht="95.1" customHeight="1" x14ac:dyDescent="0.25">
      <c r="A10" s="77" t="s">
        <v>16</v>
      </c>
      <c r="B10" s="33">
        <v>6.1</v>
      </c>
      <c r="C10" s="77" t="s">
        <v>67</v>
      </c>
      <c r="D10" s="28" t="s">
        <v>15</v>
      </c>
      <c r="E10" s="28" t="s">
        <v>26</v>
      </c>
      <c r="F10" s="77" t="s">
        <v>27</v>
      </c>
      <c r="G10" s="79">
        <v>9.7259395050412465</v>
      </c>
      <c r="H10" s="77">
        <v>1</v>
      </c>
      <c r="I10" s="3">
        <v>1</v>
      </c>
      <c r="J10" s="114">
        <f>365/7*2</f>
        <v>104.28571428571429</v>
      </c>
      <c r="K10" s="50">
        <f t="shared" si="0"/>
        <v>9.3262433609984555E-2</v>
      </c>
      <c r="L10" s="1" t="s">
        <v>635</v>
      </c>
      <c r="M10" s="1" t="s">
        <v>33</v>
      </c>
    </row>
    <row r="11" spans="1:13" ht="37.5" customHeight="1" x14ac:dyDescent="0.25">
      <c r="A11" s="77" t="s">
        <v>16</v>
      </c>
      <c r="B11" s="33">
        <v>6.1</v>
      </c>
      <c r="C11" s="77" t="s">
        <v>67</v>
      </c>
      <c r="D11" s="28" t="s">
        <v>15</v>
      </c>
      <c r="E11" s="77" t="s">
        <v>24</v>
      </c>
      <c r="F11" s="77" t="s">
        <v>28</v>
      </c>
      <c r="G11" s="79">
        <v>1.2427589367552705</v>
      </c>
      <c r="H11" s="77">
        <v>40</v>
      </c>
      <c r="I11" s="77">
        <v>1</v>
      </c>
      <c r="J11" s="114">
        <f>365/7*5</f>
        <v>260.71428571428572</v>
      </c>
      <c r="K11" s="50">
        <f t="shared" si="0"/>
        <v>4.7667466067325441E-3</v>
      </c>
      <c r="L11" s="1" t="s">
        <v>639</v>
      </c>
      <c r="M11" s="1" t="s">
        <v>31</v>
      </c>
    </row>
    <row r="12" spans="1:13" ht="33.75" x14ac:dyDescent="0.25">
      <c r="A12" s="77" t="s">
        <v>16</v>
      </c>
      <c r="B12" s="33">
        <v>6.1</v>
      </c>
      <c r="C12" s="77" t="s">
        <v>67</v>
      </c>
      <c r="D12" s="28" t="s">
        <v>15</v>
      </c>
      <c r="E12" s="28" t="s">
        <v>22</v>
      </c>
      <c r="F12" s="77" t="s">
        <v>28</v>
      </c>
      <c r="G12" s="79">
        <v>0.3133913840513291</v>
      </c>
      <c r="H12" s="77">
        <v>16</v>
      </c>
      <c r="I12" s="77">
        <v>1</v>
      </c>
      <c r="J12" s="114">
        <f>365/84</f>
        <v>4.3452380952380949</v>
      </c>
      <c r="K12" s="50">
        <f t="shared" si="0"/>
        <v>7.2122948658388072E-2</v>
      </c>
      <c r="L12" s="1" t="s">
        <v>640</v>
      </c>
      <c r="M12" s="1" t="s">
        <v>29</v>
      </c>
    </row>
    <row r="13" spans="1:13" ht="33.75" x14ac:dyDescent="0.25">
      <c r="A13" s="77" t="s">
        <v>16</v>
      </c>
      <c r="B13" s="33">
        <v>6.1</v>
      </c>
      <c r="C13" s="77" t="s">
        <v>67</v>
      </c>
      <c r="D13" s="28" t="s">
        <v>15</v>
      </c>
      <c r="E13" s="28" t="s">
        <v>627</v>
      </c>
      <c r="F13" s="1" t="s">
        <v>28</v>
      </c>
      <c r="G13" s="79">
        <v>2.4314848762603116</v>
      </c>
      <c r="H13" s="77">
        <v>1</v>
      </c>
      <c r="I13" s="77">
        <v>1</v>
      </c>
      <c r="J13" s="114">
        <f>365/7</f>
        <v>52.142857142857146</v>
      </c>
      <c r="K13" s="50">
        <f t="shared" si="0"/>
        <v>4.6631216804992277E-2</v>
      </c>
      <c r="L13" s="1" t="s">
        <v>641</v>
      </c>
      <c r="M13" s="1" t="s">
        <v>628</v>
      </c>
    </row>
    <row r="14" spans="1:13" ht="22.5" x14ac:dyDescent="0.25">
      <c r="A14" s="77" t="s">
        <v>16</v>
      </c>
      <c r="B14" s="33">
        <v>6.1</v>
      </c>
      <c r="C14" s="77" t="s">
        <v>67</v>
      </c>
      <c r="D14" s="28" t="s">
        <v>15</v>
      </c>
      <c r="E14" s="28" t="s">
        <v>23</v>
      </c>
      <c r="F14" s="77" t="s">
        <v>21</v>
      </c>
      <c r="G14" s="79">
        <v>4.3226397800183314</v>
      </c>
      <c r="H14" s="77">
        <v>10</v>
      </c>
      <c r="I14" s="77">
        <v>2</v>
      </c>
      <c r="J14" s="114">
        <f>365/7</f>
        <v>52.142857142857146</v>
      </c>
      <c r="K14" s="50">
        <f t="shared" si="0"/>
        <v>0.16579988197330586</v>
      </c>
      <c r="L14" s="1" t="s">
        <v>642</v>
      </c>
      <c r="M14" s="98" t="s">
        <v>30</v>
      </c>
    </row>
    <row r="15" spans="1:13" ht="33.75" x14ac:dyDescent="0.25">
      <c r="A15" s="77" t="s">
        <v>16</v>
      </c>
      <c r="B15" s="33">
        <v>6.1</v>
      </c>
      <c r="C15" s="77" t="s">
        <v>67</v>
      </c>
      <c r="D15" s="28" t="s">
        <v>15</v>
      </c>
      <c r="E15" s="28" t="s">
        <v>629</v>
      </c>
      <c r="F15" s="1" t="s">
        <v>28</v>
      </c>
      <c r="G15" s="79">
        <v>4.8629697525206232</v>
      </c>
      <c r="H15" s="77">
        <v>1</v>
      </c>
      <c r="I15" s="77">
        <v>2</v>
      </c>
      <c r="J15" s="114">
        <f>365/84*6</f>
        <v>26.071428571428569</v>
      </c>
      <c r="K15" s="50">
        <f t="shared" si="0"/>
        <v>0.37304973443993827</v>
      </c>
      <c r="L15" s="1" t="s">
        <v>643</v>
      </c>
      <c r="M15" s="1" t="s">
        <v>630</v>
      </c>
    </row>
    <row r="16" spans="1:13" ht="33.75" x14ac:dyDescent="0.25">
      <c r="A16" s="77" t="s">
        <v>16</v>
      </c>
      <c r="B16" s="33">
        <v>6.1</v>
      </c>
      <c r="C16" s="77" t="s">
        <v>67</v>
      </c>
      <c r="D16" s="28" t="s">
        <v>15</v>
      </c>
      <c r="E16" s="28" t="s">
        <v>631</v>
      </c>
      <c r="F16" s="1" t="s">
        <v>28</v>
      </c>
      <c r="G16" s="79">
        <v>4.8629697525206241</v>
      </c>
      <c r="H16" s="77">
        <v>1</v>
      </c>
      <c r="I16" s="77">
        <v>2</v>
      </c>
      <c r="J16" s="114">
        <f>365/84</f>
        <v>4.3452380952380949</v>
      </c>
      <c r="K16" s="50">
        <f t="shared" si="0"/>
        <v>2.2382984066396299</v>
      </c>
      <c r="L16" s="1" t="s">
        <v>644</v>
      </c>
      <c r="M16" s="1" t="s">
        <v>632</v>
      </c>
    </row>
    <row r="17" spans="1:13" ht="22.5" x14ac:dyDescent="0.25">
      <c r="A17" s="28" t="s">
        <v>16</v>
      </c>
      <c r="B17" s="33">
        <v>6.1</v>
      </c>
      <c r="C17" s="77" t="s">
        <v>67</v>
      </c>
      <c r="D17" s="49" t="s">
        <v>15</v>
      </c>
      <c r="E17" s="1" t="s">
        <v>25</v>
      </c>
      <c r="F17" s="77" t="s">
        <v>28</v>
      </c>
      <c r="G17" s="79">
        <v>3.5121448212648949</v>
      </c>
      <c r="H17" s="77">
        <v>1</v>
      </c>
      <c r="I17" s="58">
        <v>1</v>
      </c>
      <c r="J17" s="59">
        <f>365/7</f>
        <v>52.142857142857146</v>
      </c>
      <c r="K17" s="50">
        <f t="shared" si="0"/>
        <v>6.7356202051655517E-2</v>
      </c>
      <c r="L17" s="57" t="s">
        <v>645</v>
      </c>
      <c r="M17" s="1" t="s">
        <v>32</v>
      </c>
    </row>
    <row r="18" spans="1:13" ht="33.75" x14ac:dyDescent="0.25">
      <c r="A18" s="77" t="s">
        <v>16</v>
      </c>
      <c r="B18" s="33">
        <v>6.1</v>
      </c>
      <c r="C18" s="77" t="s">
        <v>67</v>
      </c>
      <c r="D18" s="28" t="s">
        <v>15</v>
      </c>
      <c r="E18" s="28" t="s">
        <v>633</v>
      </c>
      <c r="F18" s="1" t="s">
        <v>465</v>
      </c>
      <c r="G18" s="79">
        <v>4.3118331805682866</v>
      </c>
      <c r="H18" s="77">
        <v>1</v>
      </c>
      <c r="I18" s="77">
        <v>1</v>
      </c>
      <c r="J18" s="114">
        <f>365/7*10</f>
        <v>521.42857142857144</v>
      </c>
      <c r="K18" s="50">
        <f t="shared" si="0"/>
        <v>8.2692691134186314E-3</v>
      </c>
      <c r="L18" s="1" t="s">
        <v>646</v>
      </c>
      <c r="M18" s="99" t="s">
        <v>634</v>
      </c>
    </row>
    <row r="19" spans="1:13" x14ac:dyDescent="0.25">
      <c r="K19" s="108"/>
    </row>
    <row r="20" spans="1:13" x14ac:dyDescent="0.25">
      <c r="E20" s="118" t="s">
        <v>1007</v>
      </c>
      <c r="F20" s="119">
        <f>SUM(K5:K18)</f>
        <v>19.245502715968012</v>
      </c>
    </row>
  </sheetData>
  <printOptions gridLines="1"/>
  <pageMargins left="0.7" right="0.7" top="0.75" bottom="0.75" header="0.3" footer="0.3"/>
  <pageSetup paperSize="9" scale="7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3" ma:contentTypeDescription="Create a new document." ma:contentTypeScope="" ma:versionID="486a4c7009ecc50b20586fc9427f4da2">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350e3f21d6ca7eebd3c87379eefb6ee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DEED0F1-AE30-45FF-BA92-E1240911AD0F}"/>
</file>

<file path=customXml/itemProps2.xml><?xml version="1.0" encoding="utf-8"?>
<ds:datastoreItem xmlns:ds="http://schemas.openxmlformats.org/officeDocument/2006/customXml" ds:itemID="{81F20646-218E-4854-BDD8-9DD9EC0199E2}">
  <ds:schemaRefs>
    <ds:schemaRef ds:uri="http://schemas.microsoft.com/office/2006/metadata/properties"/>
    <ds:schemaRef ds:uri="http://schemas.microsoft.com/office/infopath/2007/PartnerControls"/>
    <ds:schemaRef ds:uri="e24ecc01-7ca0-4387-8322-32016978bd06"/>
    <ds:schemaRef ds:uri="6ddb0372-e2a1-456a-8256-8d404cb00e78"/>
  </ds:schemaRefs>
</ds:datastoreItem>
</file>

<file path=customXml/itemProps3.xml><?xml version="1.0" encoding="utf-8"?>
<ds:datastoreItem xmlns:ds="http://schemas.openxmlformats.org/officeDocument/2006/customXml" ds:itemID="{3A590654-EDAA-4D77-A4AA-45A71FB5035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Totals</vt:lpstr>
      <vt:lpstr>Food</vt:lpstr>
      <vt:lpstr>Alcohol</vt:lpstr>
      <vt:lpstr>Clothing</vt:lpstr>
      <vt:lpstr>Housing</vt:lpstr>
      <vt:lpstr>HHGoods</vt:lpstr>
      <vt:lpstr>HHServices</vt:lpstr>
      <vt:lpstr>PersonalGoods+Services</vt:lpstr>
      <vt:lpstr>Health</vt:lpstr>
      <vt:lpstr>Transport</vt:lpstr>
      <vt:lpstr>LeisureGoods</vt:lpstr>
      <vt:lpstr>LeisureServices</vt:lpstr>
      <vt:lpstr>Alcohol!Print_Area</vt:lpstr>
      <vt:lpstr>Clothing!Print_Area</vt:lpstr>
      <vt:lpstr>Health!Print_Area</vt:lpstr>
      <vt:lpstr>HHGoods!Print_Area</vt:lpstr>
      <vt:lpstr>Housing!Print_Area</vt:lpstr>
      <vt:lpstr>'PersonalGoods+Services'!Print_Area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2022-09-01T21:47:07Z</cp:lastPrinted>
  <dcterms:created xsi:type="dcterms:W3CDTF">2022-04-20T14:21:19Z</dcterms:created>
  <dcterms:modified xsi:type="dcterms:W3CDTF">2024-01-16T12:17:30Z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y fmtid="{D5CDD505-2E9C-101B-9397-08002B2CF9AE}" pid="3" name="MediaServiceImageTags">
    <vt:lpwstr/>
  </property>
</Properties>
</file>