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https://napfltd.sharepoint.com/sites/PolicyAdvocacy/Research/2023/37. RLS/2023/FILE FOR GALLAGHER 2023/Data Spreadsheets for web/"/>
    </mc:Choice>
  </mc:AlternateContent>
  <xr:revisionPtr revIDLastSave="22" documentId="14_{BBD69E37-FB6A-43BC-865F-C5A0A4971487}" xr6:coauthVersionLast="47" xr6:coauthVersionMax="47" xr10:uidLastSave="{4683F346-C8D1-4541-BCFC-5E3CE9F414F2}"/>
  <bookViews>
    <workbookView xWindow="-120" yWindow="-120" windowWidth="38640" windowHeight="15720" tabRatio="794" activeTab="12" xr2:uid="{FF745DE7-E49C-4FB1-8FA5-F6BB029BB396}"/>
  </bookViews>
  <sheets>
    <sheet name="Totals" sheetId="18" r:id="rId1"/>
    <sheet name="Food" sheetId="15" r:id="rId2"/>
    <sheet name="Alcohol" sheetId="16" r:id="rId3"/>
    <sheet name="Clothing" sheetId="13" r:id="rId4"/>
    <sheet name="Footwear" sheetId="14" r:id="rId5"/>
    <sheet name="Housing" sheetId="5" r:id="rId6"/>
    <sheet name="HHGoods" sheetId="6" r:id="rId7"/>
    <sheet name="HHServices" sheetId="11" r:id="rId8"/>
    <sheet name="PersonalGoods+Services" sheetId="7" r:id="rId9"/>
    <sheet name="Health" sheetId="12" r:id="rId10"/>
    <sheet name="Transport" sheetId="8" r:id="rId11"/>
    <sheet name="LeisureGoods" sheetId="9" r:id="rId12"/>
    <sheet name="LeisureServices" sheetId="10" r:id="rId13"/>
  </sheets>
  <externalReferences>
    <externalReference r:id="rId14"/>
  </externalReferences>
  <definedNames>
    <definedName name="MISA">[1]A!$F$12</definedName>
    <definedName name="MISA1">[1]A!$F$10</definedName>
    <definedName name="MISA2">[1]A!$F$11</definedName>
    <definedName name="MISB">[1]B!$F$15</definedName>
    <definedName name="MISB1">[1]B!$F$11</definedName>
    <definedName name="MISB1A">[1]B!$F$12</definedName>
    <definedName name="MISB1B">[1]B!$F$13</definedName>
    <definedName name="MISB2">[1]B!$F$14</definedName>
    <definedName name="MISC">[1]C!$F$14</definedName>
    <definedName name="MISD">[1]D!$E$9</definedName>
    <definedName name="MISD1">[1]D!$E$10</definedName>
    <definedName name="MISD2">[1]D!#REF!</definedName>
    <definedName name="MISD3">[1]D!$E$12</definedName>
    <definedName name="MISD4">[1]D!$E$13</definedName>
    <definedName name="MISD5">[1]D!$E$14</definedName>
    <definedName name="MISD6">[1]D!$E$15</definedName>
    <definedName name="MISD7">[1]D!$E$11</definedName>
    <definedName name="MISE">[1]E!$F$22</definedName>
    <definedName name="MISE1">[1]E!$F$15</definedName>
    <definedName name="MISE2">[1]E!$F$16</definedName>
    <definedName name="MISE2A">[1]E!$F$17</definedName>
    <definedName name="MISE2A1">[1]E!$F$18</definedName>
    <definedName name="MISE2A2">[1]E!$F$19</definedName>
    <definedName name="MISE2B">[1]E!$F$20</definedName>
    <definedName name="MISE2C">[1]E!$F$21</definedName>
    <definedName name="MISF">[1]F!$F$8</definedName>
    <definedName name="MISG">[1]G!$F$15</definedName>
    <definedName name="MISG1">[1]G!$F$13</definedName>
    <definedName name="MISG2">[1]G!$F$14</definedName>
    <definedName name="MISH">[1]H!$F$22</definedName>
    <definedName name="MISH1">[1]H!$F$16</definedName>
    <definedName name="MISH2">[1]H!$F$17</definedName>
    <definedName name="MISH3">[1]H!$F$18</definedName>
    <definedName name="MISH4">[1]H!$F$19</definedName>
    <definedName name="MISH5">[1]H!$F$20</definedName>
    <definedName name="MISH6">[1]H!$F$21</definedName>
    <definedName name="_xlnm.Print_Area" localSheetId="3">Clothing!$A$1:$M$49</definedName>
    <definedName name="_xlnm.Print_Area" localSheetId="12">LeisureServices!$A$1:$M$17</definedName>
    <definedName name="_xlnm.Print_Titles" localSheetId="3">Clothing!$1:$4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14" i="10" l="1"/>
  <c r="E17" i="10"/>
  <c r="H6" i="5"/>
  <c r="I6" i="5" s="1"/>
  <c r="H15" i="18" l="1"/>
  <c r="H5" i="18"/>
  <c r="E16" i="18"/>
  <c r="E14" i="5"/>
  <c r="E18" i="18" s="1"/>
  <c r="H8" i="18" s="1"/>
  <c r="J12" i="10"/>
  <c r="K12" i="10" s="1"/>
  <c r="J11" i="10"/>
  <c r="K11" i="10" s="1"/>
  <c r="J10" i="10"/>
  <c r="K10" i="10" s="1"/>
  <c r="J9" i="10"/>
  <c r="K9" i="10" s="1"/>
  <c r="E40" i="18" s="1"/>
  <c r="K8" i="10"/>
  <c r="J7" i="10"/>
  <c r="K7" i="10" s="1"/>
  <c r="J5" i="10"/>
  <c r="K5" i="10" s="1"/>
  <c r="E15" i="10" s="1"/>
  <c r="E38" i="18" s="1"/>
  <c r="J13" i="9"/>
  <c r="K13" i="9" s="1"/>
  <c r="J12" i="9"/>
  <c r="K12" i="9" s="1"/>
  <c r="J11" i="9"/>
  <c r="K11" i="9" s="1"/>
  <c r="J10" i="9"/>
  <c r="K10" i="9" s="1"/>
  <c r="J9" i="9"/>
  <c r="K9" i="9" s="1"/>
  <c r="J8" i="9"/>
  <c r="K8" i="9" s="1"/>
  <c r="J7" i="9"/>
  <c r="K7" i="9" s="1"/>
  <c r="J6" i="9"/>
  <c r="K6" i="9" s="1"/>
  <c r="J5" i="9"/>
  <c r="K5" i="9" s="1"/>
  <c r="K8" i="8"/>
  <c r="J8" i="8"/>
  <c r="J6" i="8"/>
  <c r="K6" i="8" s="1"/>
  <c r="K5" i="8"/>
  <c r="K19" i="12"/>
  <c r="J18" i="12"/>
  <c r="K18" i="12" s="1"/>
  <c r="J17" i="12"/>
  <c r="K17" i="12" s="1"/>
  <c r="J16" i="12"/>
  <c r="K16" i="12" s="1"/>
  <c r="J15" i="12"/>
  <c r="K15" i="12" s="1"/>
  <c r="J14" i="12"/>
  <c r="K14" i="12" s="1"/>
  <c r="J13" i="12"/>
  <c r="K13" i="12" s="1"/>
  <c r="J12" i="12"/>
  <c r="K12" i="12" s="1"/>
  <c r="J11" i="12"/>
  <c r="K11" i="12" s="1"/>
  <c r="J10" i="12"/>
  <c r="K10" i="12" s="1"/>
  <c r="J9" i="12"/>
  <c r="K9" i="12" s="1"/>
  <c r="J8" i="12"/>
  <c r="K8" i="12" s="1"/>
  <c r="J7" i="12"/>
  <c r="K7" i="12" s="1"/>
  <c r="J6" i="12"/>
  <c r="K6" i="12" s="1"/>
  <c r="J5" i="12"/>
  <c r="K5" i="12" s="1"/>
  <c r="J45" i="7"/>
  <c r="K45" i="7" s="1"/>
  <c r="J44" i="7"/>
  <c r="K44" i="7" s="1"/>
  <c r="J43" i="7"/>
  <c r="K43" i="7" s="1"/>
  <c r="J42" i="7"/>
  <c r="K42" i="7" s="1"/>
  <c r="J41" i="7"/>
  <c r="K41" i="7" s="1"/>
  <c r="J40" i="7"/>
  <c r="K40" i="7" s="1"/>
  <c r="K39" i="7"/>
  <c r="J39" i="7"/>
  <c r="J38" i="7"/>
  <c r="K38" i="7" s="1"/>
  <c r="J37" i="7"/>
  <c r="K37" i="7" s="1"/>
  <c r="J36" i="7"/>
  <c r="K36" i="7" s="1"/>
  <c r="J35" i="7"/>
  <c r="K35" i="7" s="1"/>
  <c r="J34" i="7"/>
  <c r="K34" i="7" s="1"/>
  <c r="K33" i="7"/>
  <c r="J33" i="7"/>
  <c r="J32" i="7"/>
  <c r="K32" i="7" s="1"/>
  <c r="J31" i="7"/>
  <c r="K31" i="7" s="1"/>
  <c r="J30" i="7"/>
  <c r="K30" i="7" s="1"/>
  <c r="J29" i="7"/>
  <c r="K29" i="7" s="1"/>
  <c r="J28" i="7"/>
  <c r="K28" i="7" s="1"/>
  <c r="J27" i="7"/>
  <c r="K27" i="7" s="1"/>
  <c r="J26" i="7"/>
  <c r="K26" i="7" s="1"/>
  <c r="J25" i="7"/>
  <c r="K25" i="7" s="1"/>
  <c r="J24" i="7"/>
  <c r="K24" i="7" s="1"/>
  <c r="J23" i="7"/>
  <c r="K23" i="7" s="1"/>
  <c r="J22" i="7"/>
  <c r="K22" i="7" s="1"/>
  <c r="J21" i="7"/>
  <c r="K21" i="7" s="1"/>
  <c r="J20" i="7"/>
  <c r="K20" i="7" s="1"/>
  <c r="J19" i="7"/>
  <c r="K19" i="7" s="1"/>
  <c r="J18" i="7"/>
  <c r="K18" i="7" s="1"/>
  <c r="J17" i="7"/>
  <c r="K17" i="7" s="1"/>
  <c r="J16" i="7"/>
  <c r="K16" i="7" s="1"/>
  <c r="J15" i="7"/>
  <c r="K15" i="7" s="1"/>
  <c r="J14" i="7"/>
  <c r="K14" i="7" s="1"/>
  <c r="J13" i="7"/>
  <c r="K13" i="7" s="1"/>
  <c r="J12" i="7"/>
  <c r="K12" i="7" s="1"/>
  <c r="J11" i="7"/>
  <c r="K11" i="7" s="1"/>
  <c r="J10" i="7"/>
  <c r="K10" i="7" s="1"/>
  <c r="J9" i="7"/>
  <c r="K9" i="7" s="1"/>
  <c r="K8" i="7"/>
  <c r="J7" i="7"/>
  <c r="K7" i="7" s="1"/>
  <c r="J6" i="7"/>
  <c r="K6" i="7" s="1"/>
  <c r="K5" i="7"/>
  <c r="J9" i="11"/>
  <c r="K9" i="11" s="1"/>
  <c r="K8" i="11"/>
  <c r="J7" i="11"/>
  <c r="K7" i="11" s="1"/>
  <c r="J6" i="11"/>
  <c r="K6" i="11" s="1"/>
  <c r="K5" i="11"/>
  <c r="F11" i="11" s="1"/>
  <c r="E26" i="18" s="1"/>
  <c r="J41" i="6"/>
  <c r="K41" i="6" s="1"/>
  <c r="J40" i="6"/>
  <c r="K40" i="6" s="1"/>
  <c r="J39" i="6"/>
  <c r="K39" i="6" s="1"/>
  <c r="J38" i="6"/>
  <c r="K38" i="6" s="1"/>
  <c r="J76" i="6"/>
  <c r="K76" i="6" s="1"/>
  <c r="J65" i="6"/>
  <c r="K65" i="6" s="1"/>
  <c r="J64" i="6"/>
  <c r="K64" i="6" s="1"/>
  <c r="J63" i="6"/>
  <c r="K63" i="6" s="1"/>
  <c r="J62" i="6"/>
  <c r="K62" i="6" s="1"/>
  <c r="J61" i="6"/>
  <c r="K61" i="6" s="1"/>
  <c r="J60" i="6"/>
  <c r="K60" i="6" s="1"/>
  <c r="J59" i="6"/>
  <c r="K59" i="6" s="1"/>
  <c r="J58" i="6"/>
  <c r="K58" i="6" s="1"/>
  <c r="J57" i="6"/>
  <c r="K57" i="6" s="1"/>
  <c r="J37" i="6"/>
  <c r="K37" i="6" s="1"/>
  <c r="J36" i="6"/>
  <c r="K36" i="6" s="1"/>
  <c r="J35" i="6"/>
  <c r="K35" i="6" s="1"/>
  <c r="J34" i="6"/>
  <c r="K34" i="6" s="1"/>
  <c r="J33" i="6"/>
  <c r="K33" i="6" s="1"/>
  <c r="J32" i="6"/>
  <c r="K32" i="6" s="1"/>
  <c r="J31" i="6"/>
  <c r="K31" i="6" s="1"/>
  <c r="J30" i="6"/>
  <c r="K30" i="6" s="1"/>
  <c r="J29" i="6"/>
  <c r="K29" i="6" s="1"/>
  <c r="J140" i="6"/>
  <c r="K140" i="6" s="1"/>
  <c r="J56" i="6"/>
  <c r="K56" i="6" s="1"/>
  <c r="J139" i="6"/>
  <c r="K139" i="6" s="1"/>
  <c r="J55" i="6"/>
  <c r="K55" i="6" s="1"/>
  <c r="J138" i="6"/>
  <c r="K138" i="6" s="1"/>
  <c r="J28" i="6"/>
  <c r="K28" i="6" s="1"/>
  <c r="K168" i="6"/>
  <c r="J125" i="6"/>
  <c r="K125" i="6" s="1"/>
  <c r="J167" i="6"/>
  <c r="K167" i="6" s="1"/>
  <c r="K166" i="6"/>
  <c r="J165" i="6"/>
  <c r="K165" i="6" s="1"/>
  <c r="J164" i="6"/>
  <c r="K164" i="6" s="1"/>
  <c r="J169" i="6"/>
  <c r="K169" i="6" s="1"/>
  <c r="J27" i="6"/>
  <c r="K27" i="6" s="1"/>
  <c r="J54" i="6"/>
  <c r="K54" i="6" s="1"/>
  <c r="J124" i="6"/>
  <c r="K124" i="6" s="1"/>
  <c r="J53" i="6"/>
  <c r="K53" i="6" s="1"/>
  <c r="J52" i="6"/>
  <c r="K52" i="6" s="1"/>
  <c r="J51" i="6"/>
  <c r="K51" i="6" s="1"/>
  <c r="J50" i="6"/>
  <c r="K50" i="6" s="1"/>
  <c r="J49" i="6"/>
  <c r="K49" i="6" s="1"/>
  <c r="J163" i="6"/>
  <c r="K163" i="6" s="1"/>
  <c r="J26" i="6"/>
  <c r="K26" i="6" s="1"/>
  <c r="J25" i="6"/>
  <c r="K25" i="6" s="1"/>
  <c r="J137" i="6"/>
  <c r="K137" i="6" s="1"/>
  <c r="J162" i="6"/>
  <c r="K162" i="6" s="1"/>
  <c r="J161" i="6"/>
  <c r="K161" i="6" s="1"/>
  <c r="J136" i="6"/>
  <c r="K136" i="6" s="1"/>
  <c r="J160" i="6"/>
  <c r="K160" i="6" s="1"/>
  <c r="J159" i="6"/>
  <c r="K159" i="6" s="1"/>
  <c r="J158" i="6"/>
  <c r="K158" i="6" s="1"/>
  <c r="K157" i="6"/>
  <c r="K156" i="6"/>
  <c r="J155" i="6"/>
  <c r="K155" i="6" s="1"/>
  <c r="K154" i="6"/>
  <c r="J153" i="6"/>
  <c r="K153" i="6" s="1"/>
  <c r="J152" i="6"/>
  <c r="K152" i="6" s="1"/>
  <c r="K151" i="6"/>
  <c r="J150" i="6"/>
  <c r="K150" i="6" s="1"/>
  <c r="J149" i="6"/>
  <c r="K149" i="6" s="1"/>
  <c r="K148" i="6"/>
  <c r="J147" i="6"/>
  <c r="K147" i="6" s="1"/>
  <c r="J75" i="6"/>
  <c r="K75" i="6" s="1"/>
  <c r="J146" i="6"/>
  <c r="K146" i="6" s="1"/>
  <c r="J145" i="6"/>
  <c r="K145" i="6" s="1"/>
  <c r="J123" i="6"/>
  <c r="K123" i="6" s="1"/>
  <c r="J122" i="6"/>
  <c r="K122" i="6" s="1"/>
  <c r="J121" i="6"/>
  <c r="K121" i="6" s="1"/>
  <c r="J120" i="6"/>
  <c r="K120" i="6" s="1"/>
  <c r="J74" i="6"/>
  <c r="K74" i="6" s="1"/>
  <c r="J119" i="6"/>
  <c r="K119" i="6" s="1"/>
  <c r="J118" i="6"/>
  <c r="K118" i="6" s="1"/>
  <c r="K144" i="6"/>
  <c r="J143" i="6"/>
  <c r="K143" i="6" s="1"/>
  <c r="J142" i="6"/>
  <c r="K142" i="6" s="1"/>
  <c r="J117" i="6"/>
  <c r="K117" i="6" s="1"/>
  <c r="J116" i="6"/>
  <c r="K116" i="6" s="1"/>
  <c r="J115" i="6"/>
  <c r="K115" i="6" s="1"/>
  <c r="J114" i="6"/>
  <c r="K114" i="6" s="1"/>
  <c r="J113" i="6"/>
  <c r="K113" i="6" s="1"/>
  <c r="J112" i="6"/>
  <c r="K112" i="6" s="1"/>
  <c r="J111" i="6"/>
  <c r="K111" i="6" s="1"/>
  <c r="J110" i="6"/>
  <c r="K110" i="6" s="1"/>
  <c r="J109" i="6"/>
  <c r="K109" i="6" s="1"/>
  <c r="J108" i="6"/>
  <c r="K108" i="6" s="1"/>
  <c r="J107" i="6"/>
  <c r="K107" i="6" s="1"/>
  <c r="J106" i="6"/>
  <c r="K106" i="6" s="1"/>
  <c r="J105" i="6"/>
  <c r="K105" i="6" s="1"/>
  <c r="J104" i="6"/>
  <c r="K104" i="6" s="1"/>
  <c r="J103" i="6"/>
  <c r="K103" i="6" s="1"/>
  <c r="J102" i="6"/>
  <c r="K102" i="6" s="1"/>
  <c r="J101" i="6"/>
  <c r="K101" i="6" s="1"/>
  <c r="J100" i="6"/>
  <c r="K100" i="6" s="1"/>
  <c r="J99" i="6"/>
  <c r="K99" i="6" s="1"/>
  <c r="J98" i="6"/>
  <c r="K98" i="6" s="1"/>
  <c r="J97" i="6"/>
  <c r="K97" i="6" s="1"/>
  <c r="J96" i="6"/>
  <c r="K96" i="6" s="1"/>
  <c r="J95" i="6"/>
  <c r="K95" i="6" s="1"/>
  <c r="J94" i="6"/>
  <c r="K94" i="6" s="1"/>
  <c r="J93" i="6"/>
  <c r="K93" i="6" s="1"/>
  <c r="J92" i="6"/>
  <c r="K92" i="6" s="1"/>
  <c r="J91" i="6"/>
  <c r="K91" i="6" s="1"/>
  <c r="J90" i="6"/>
  <c r="K90" i="6" s="1"/>
  <c r="J89" i="6"/>
  <c r="K89" i="6" s="1"/>
  <c r="J88" i="6"/>
  <c r="K88" i="6" s="1"/>
  <c r="J87" i="6"/>
  <c r="K87" i="6" s="1"/>
  <c r="J86" i="6"/>
  <c r="K86" i="6" s="1"/>
  <c r="J85" i="6"/>
  <c r="K85" i="6" s="1"/>
  <c r="J73" i="6"/>
  <c r="K73" i="6" s="1"/>
  <c r="J72" i="6"/>
  <c r="K72" i="6" s="1"/>
  <c r="J71" i="6"/>
  <c r="K71" i="6" s="1"/>
  <c r="J70" i="6"/>
  <c r="K70" i="6" s="1"/>
  <c r="J69" i="6"/>
  <c r="K69" i="6" s="1"/>
  <c r="J68" i="6"/>
  <c r="K68" i="6" s="1"/>
  <c r="J67" i="6"/>
  <c r="K67" i="6" s="1"/>
  <c r="J66" i="6"/>
  <c r="K66" i="6" s="1"/>
  <c r="J141" i="6"/>
  <c r="K141" i="6" s="1"/>
  <c r="J84" i="6"/>
  <c r="K84" i="6" s="1"/>
  <c r="J83" i="6"/>
  <c r="K83" i="6" s="1"/>
  <c r="J82" i="6"/>
  <c r="K82" i="6" s="1"/>
  <c r="J81" i="6"/>
  <c r="K81" i="6" s="1"/>
  <c r="J80" i="6"/>
  <c r="K80" i="6" s="1"/>
  <c r="J79" i="6"/>
  <c r="K79" i="6" s="1"/>
  <c r="J78" i="6"/>
  <c r="K78" i="6" s="1"/>
  <c r="J77" i="6"/>
  <c r="K77" i="6" s="1"/>
  <c r="J24" i="6"/>
  <c r="K24" i="6" s="1"/>
  <c r="J135" i="6"/>
  <c r="K135" i="6" s="1"/>
  <c r="J23" i="6"/>
  <c r="K23" i="6" s="1"/>
  <c r="J22" i="6"/>
  <c r="K22" i="6" s="1"/>
  <c r="J21" i="6"/>
  <c r="K21" i="6" s="1"/>
  <c r="J20" i="6"/>
  <c r="K20" i="6" s="1"/>
  <c r="J134" i="6"/>
  <c r="K134" i="6" s="1"/>
  <c r="J48" i="6"/>
  <c r="K48" i="6" s="1"/>
  <c r="J133" i="6"/>
  <c r="K133" i="6" s="1"/>
  <c r="J47" i="6"/>
  <c r="K47" i="6" s="1"/>
  <c r="J132" i="6"/>
  <c r="K132" i="6" s="1"/>
  <c r="J19" i="6"/>
  <c r="K19" i="6" s="1"/>
  <c r="J18" i="6"/>
  <c r="K18" i="6" s="1"/>
  <c r="J17" i="6"/>
  <c r="K17" i="6" s="1"/>
  <c r="J16" i="6"/>
  <c r="K16" i="6" s="1"/>
  <c r="J15" i="6"/>
  <c r="K15" i="6" s="1"/>
  <c r="J14" i="6"/>
  <c r="K14" i="6" s="1"/>
  <c r="J131" i="6"/>
  <c r="K131" i="6" s="1"/>
  <c r="J13" i="6"/>
  <c r="K13" i="6" s="1"/>
  <c r="J46" i="6"/>
  <c r="K46" i="6" s="1"/>
  <c r="J12" i="6"/>
  <c r="K12" i="6" s="1"/>
  <c r="J11" i="6"/>
  <c r="K11" i="6" s="1"/>
  <c r="J10" i="6"/>
  <c r="K10" i="6" s="1"/>
  <c r="J130" i="6"/>
  <c r="K130" i="6" s="1"/>
  <c r="J45" i="6"/>
  <c r="K45" i="6" s="1"/>
  <c r="J129" i="6"/>
  <c r="K129" i="6" s="1"/>
  <c r="J44" i="6"/>
  <c r="K44" i="6" s="1"/>
  <c r="J128" i="6"/>
  <c r="K128" i="6" s="1"/>
  <c r="J9" i="6"/>
  <c r="K9" i="6" s="1"/>
  <c r="J8" i="6"/>
  <c r="K8" i="6" s="1"/>
  <c r="J127" i="6"/>
  <c r="K127" i="6" s="1"/>
  <c r="J126" i="6"/>
  <c r="K126" i="6" s="1"/>
  <c r="J7" i="6"/>
  <c r="K7" i="6" s="1"/>
  <c r="J43" i="6"/>
  <c r="K43" i="6" s="1"/>
  <c r="J42" i="6"/>
  <c r="K42" i="6" s="1"/>
  <c r="J6" i="6"/>
  <c r="K6" i="6" s="1"/>
  <c r="J5" i="6"/>
  <c r="K5" i="6" s="1"/>
  <c r="J15" i="14"/>
  <c r="K15" i="14" s="1"/>
  <c r="J14" i="14"/>
  <c r="K14" i="14" s="1"/>
  <c r="J13" i="14"/>
  <c r="K13" i="14" s="1"/>
  <c r="J12" i="14"/>
  <c r="K12" i="14" s="1"/>
  <c r="J11" i="14"/>
  <c r="K11" i="14" s="1"/>
  <c r="J10" i="14"/>
  <c r="K10" i="14" s="1"/>
  <c r="J9" i="14"/>
  <c r="K9" i="14" s="1"/>
  <c r="J8" i="14"/>
  <c r="K8" i="14" s="1"/>
  <c r="J7" i="14"/>
  <c r="K7" i="14" s="1"/>
  <c r="J6" i="14"/>
  <c r="K6" i="14" s="1"/>
  <c r="J5" i="14"/>
  <c r="K5" i="14" s="1"/>
  <c r="E17" i="14" s="1"/>
  <c r="J47" i="13"/>
  <c r="K47" i="13" s="1"/>
  <c r="J46" i="13"/>
  <c r="K46" i="13" s="1"/>
  <c r="J45" i="13"/>
  <c r="K45" i="13" s="1"/>
  <c r="J44" i="13"/>
  <c r="K44" i="13" s="1"/>
  <c r="J43" i="13"/>
  <c r="K43" i="13" s="1"/>
  <c r="J42" i="13"/>
  <c r="K42" i="13" s="1"/>
  <c r="J41" i="13"/>
  <c r="K41" i="13" s="1"/>
  <c r="J40" i="13"/>
  <c r="K40" i="13" s="1"/>
  <c r="J39" i="13"/>
  <c r="K39" i="13" s="1"/>
  <c r="J38" i="13"/>
  <c r="K38" i="13" s="1"/>
  <c r="J37" i="13"/>
  <c r="K37" i="13" s="1"/>
  <c r="J36" i="13"/>
  <c r="K36" i="13" s="1"/>
  <c r="J35" i="13"/>
  <c r="K35" i="13" s="1"/>
  <c r="J34" i="13"/>
  <c r="K34" i="13" s="1"/>
  <c r="J33" i="13"/>
  <c r="K33" i="13" s="1"/>
  <c r="J32" i="13"/>
  <c r="K32" i="13" s="1"/>
  <c r="J31" i="13"/>
  <c r="K31" i="13" s="1"/>
  <c r="J30" i="13"/>
  <c r="K30" i="13" s="1"/>
  <c r="J29" i="13"/>
  <c r="K29" i="13" s="1"/>
  <c r="J28" i="13"/>
  <c r="K28" i="13" s="1"/>
  <c r="J27" i="13"/>
  <c r="K27" i="13" s="1"/>
  <c r="J26" i="13"/>
  <c r="K26" i="13" s="1"/>
  <c r="J25" i="13"/>
  <c r="K25" i="13" s="1"/>
  <c r="J24" i="13"/>
  <c r="K24" i="13" s="1"/>
  <c r="J23" i="13"/>
  <c r="K23" i="13" s="1"/>
  <c r="J22" i="13"/>
  <c r="K22" i="13" s="1"/>
  <c r="J21" i="13"/>
  <c r="K21" i="13" s="1"/>
  <c r="J20" i="13"/>
  <c r="K20" i="13" s="1"/>
  <c r="J19" i="13"/>
  <c r="K19" i="13" s="1"/>
  <c r="J18" i="13"/>
  <c r="K18" i="13" s="1"/>
  <c r="J17" i="13"/>
  <c r="K17" i="13" s="1"/>
  <c r="J16" i="13"/>
  <c r="K16" i="13" s="1"/>
  <c r="J15" i="13"/>
  <c r="K15" i="13" s="1"/>
  <c r="J14" i="13"/>
  <c r="K14" i="13" s="1"/>
  <c r="J13" i="13"/>
  <c r="K13" i="13" s="1"/>
  <c r="J12" i="13"/>
  <c r="K12" i="13" s="1"/>
  <c r="J11" i="13"/>
  <c r="K11" i="13" s="1"/>
  <c r="J10" i="13"/>
  <c r="K10" i="13" s="1"/>
  <c r="J9" i="13"/>
  <c r="K9" i="13" s="1"/>
  <c r="J8" i="13"/>
  <c r="K8" i="13" s="1"/>
  <c r="J7" i="13"/>
  <c r="K7" i="13" s="1"/>
  <c r="J6" i="13"/>
  <c r="K6" i="13" s="1"/>
  <c r="J5" i="13"/>
  <c r="K5" i="13" s="1"/>
  <c r="J7" i="16"/>
  <c r="K7" i="16" s="1"/>
  <c r="E10" i="16" s="1"/>
  <c r="E11" i="18" s="1"/>
  <c r="K6" i="16"/>
  <c r="E9" i="16" s="1"/>
  <c r="E10" i="18" s="1"/>
  <c r="K95" i="15"/>
  <c r="J94" i="15"/>
  <c r="K94" i="15" s="1"/>
  <c r="E98" i="15" s="1"/>
  <c r="E7" i="18" s="1"/>
  <c r="J93" i="15"/>
  <c r="K93" i="15" s="1"/>
  <c r="J92" i="15"/>
  <c r="K92" i="15" s="1"/>
  <c r="K91" i="15"/>
  <c r="J90" i="15"/>
  <c r="K90" i="15" s="1"/>
  <c r="J89" i="15"/>
  <c r="K89" i="15" s="1"/>
  <c r="J88" i="15"/>
  <c r="K88" i="15" s="1"/>
  <c r="J87" i="15"/>
  <c r="K87" i="15" s="1"/>
  <c r="J86" i="15"/>
  <c r="K86" i="15" s="1"/>
  <c r="J85" i="15"/>
  <c r="K85" i="15" s="1"/>
  <c r="J84" i="15"/>
  <c r="K84" i="15" s="1"/>
  <c r="J83" i="15"/>
  <c r="K83" i="15" s="1"/>
  <c r="J82" i="15"/>
  <c r="K82" i="15" s="1"/>
  <c r="J81" i="15"/>
  <c r="K81" i="15" s="1"/>
  <c r="K80" i="15"/>
  <c r="K79" i="15"/>
  <c r="K78" i="15"/>
  <c r="K77" i="15"/>
  <c r="J76" i="15"/>
  <c r="K76" i="15" s="1"/>
  <c r="J75" i="15"/>
  <c r="K75" i="15" s="1"/>
  <c r="J74" i="15"/>
  <c r="K74" i="15" s="1"/>
  <c r="J73" i="15"/>
  <c r="K73" i="15" s="1"/>
  <c r="K72" i="15"/>
  <c r="J71" i="15"/>
  <c r="K71" i="15" s="1"/>
  <c r="J70" i="15"/>
  <c r="K70" i="15" s="1"/>
  <c r="J69" i="15"/>
  <c r="K69" i="15" s="1"/>
  <c r="J68" i="15"/>
  <c r="K68" i="15" s="1"/>
  <c r="J67" i="15"/>
  <c r="K67" i="15" s="1"/>
  <c r="J66" i="15"/>
  <c r="K66" i="15" s="1"/>
  <c r="J65" i="15"/>
  <c r="K65" i="15" s="1"/>
  <c r="J64" i="15"/>
  <c r="K64" i="15" s="1"/>
  <c r="J63" i="15"/>
  <c r="K63" i="15" s="1"/>
  <c r="J62" i="15"/>
  <c r="K62" i="15" s="1"/>
  <c r="J61" i="15"/>
  <c r="K61" i="15" s="1"/>
  <c r="J60" i="15"/>
  <c r="K60" i="15" s="1"/>
  <c r="J59" i="15"/>
  <c r="K59" i="15" s="1"/>
  <c r="J58" i="15"/>
  <c r="K58" i="15" s="1"/>
  <c r="J57" i="15"/>
  <c r="K57" i="15" s="1"/>
  <c r="J56" i="15"/>
  <c r="K56" i="15" s="1"/>
  <c r="K55" i="15"/>
  <c r="K54" i="15"/>
  <c r="K53" i="15"/>
  <c r="K52" i="15"/>
  <c r="J51" i="15"/>
  <c r="K51" i="15" s="1"/>
  <c r="K50" i="15"/>
  <c r="J49" i="15"/>
  <c r="K49" i="15" s="1"/>
  <c r="J48" i="15"/>
  <c r="K48" i="15" s="1"/>
  <c r="K47" i="15"/>
  <c r="K46" i="15"/>
  <c r="J45" i="15"/>
  <c r="K45" i="15" s="1"/>
  <c r="K44" i="15"/>
  <c r="J43" i="15"/>
  <c r="K43" i="15" s="1"/>
  <c r="K42" i="15"/>
  <c r="K41" i="15"/>
  <c r="J40" i="15"/>
  <c r="K40" i="15" s="1"/>
  <c r="K39" i="15"/>
  <c r="K38" i="15"/>
  <c r="K37" i="15"/>
  <c r="J36" i="15"/>
  <c r="K36" i="15" s="1"/>
  <c r="K35" i="15"/>
  <c r="J34" i="15"/>
  <c r="K34" i="15" s="1"/>
  <c r="J33" i="15"/>
  <c r="K33" i="15" s="1"/>
  <c r="K32" i="15"/>
  <c r="K31" i="15"/>
  <c r="K30" i="15"/>
  <c r="K29" i="15"/>
  <c r="K28" i="15"/>
  <c r="K27" i="15"/>
  <c r="K26" i="15"/>
  <c r="J25" i="15"/>
  <c r="K25" i="15" s="1"/>
  <c r="J24" i="15"/>
  <c r="K24" i="15" s="1"/>
  <c r="K23" i="15"/>
  <c r="J22" i="15"/>
  <c r="K22" i="15" s="1"/>
  <c r="J21" i="15"/>
  <c r="K21" i="15" s="1"/>
  <c r="J20" i="15"/>
  <c r="K20" i="15" s="1"/>
  <c r="J19" i="15"/>
  <c r="K19" i="15" s="1"/>
  <c r="K18" i="15"/>
  <c r="J17" i="15"/>
  <c r="K17" i="15" s="1"/>
  <c r="J16" i="15"/>
  <c r="K16" i="15" s="1"/>
  <c r="J15" i="15"/>
  <c r="K15" i="15" s="1"/>
  <c r="J14" i="15"/>
  <c r="K14" i="15" s="1"/>
  <c r="J13" i="15"/>
  <c r="K13" i="15" s="1"/>
  <c r="J12" i="15"/>
  <c r="K12" i="15" s="1"/>
  <c r="K11" i="15"/>
  <c r="J10" i="15"/>
  <c r="K10" i="15" s="1"/>
  <c r="J9" i="15"/>
  <c r="K9" i="15" s="1"/>
  <c r="J8" i="15"/>
  <c r="K8" i="15" s="1"/>
  <c r="J7" i="15"/>
  <c r="K7" i="15" s="1"/>
  <c r="J6" i="15"/>
  <c r="K6" i="15" s="1"/>
  <c r="E37" i="18" l="1"/>
  <c r="E15" i="9"/>
  <c r="E35" i="18" s="1"/>
  <c r="E10" i="8"/>
  <c r="E33" i="18" s="1"/>
  <c r="H16" i="18" s="1"/>
  <c r="F21" i="12"/>
  <c r="F12" i="11"/>
  <c r="E27" i="18" s="1"/>
  <c r="E24" i="18" s="1"/>
  <c r="H13" i="18" s="1"/>
  <c r="E9" i="18"/>
  <c r="H4" i="18" s="1"/>
  <c r="F47" i="7"/>
  <c r="E171" i="6"/>
  <c r="E23" i="18" s="1"/>
  <c r="H12" i="18" s="1"/>
  <c r="F49" i="13"/>
  <c r="E14" i="18" s="1"/>
  <c r="H6" i="18" s="1"/>
  <c r="E97" i="15"/>
  <c r="E6" i="18" s="1"/>
  <c r="E5" i="18" s="1"/>
  <c r="H3" i="18" s="1"/>
  <c r="H9" i="5"/>
  <c r="I9" i="5" s="1"/>
  <c r="E17" i="5" s="1"/>
  <c r="E21" i="18" s="1"/>
  <c r="H11" i="18" s="1"/>
  <c r="H8" i="5"/>
  <c r="I8" i="5" s="1"/>
  <c r="E16" i="5" s="1"/>
  <c r="E20" i="18" s="1"/>
  <c r="H10" i="18" s="1"/>
  <c r="H7" i="5"/>
  <c r="I7" i="5" s="1"/>
  <c r="E15" i="5" s="1"/>
  <c r="E19" i="18" s="1"/>
  <c r="H9" i="18" s="1"/>
  <c r="H5" i="5"/>
  <c r="E15" i="18"/>
  <c r="E34" i="18" l="1"/>
  <c r="H17" i="18" s="1"/>
  <c r="E31" i="18"/>
  <c r="H14" i="18" s="1"/>
  <c r="E25" i="18"/>
  <c r="I5" i="5"/>
  <c r="E13" i="5" s="1"/>
  <c r="E17" i="18" s="1"/>
  <c r="H7" i="18" s="1"/>
  <c r="H18" i="18" l="1"/>
</calcChain>
</file>

<file path=xl/sharedStrings.xml><?xml version="1.0" encoding="utf-8"?>
<sst xmlns="http://schemas.openxmlformats.org/spreadsheetml/2006/main" count="3052" uniqueCount="1320">
  <si>
    <t>MIS CODE</t>
  </si>
  <si>
    <t>COICOP</t>
  </si>
  <si>
    <t>MIS ID</t>
  </si>
  <si>
    <t>Category</t>
  </si>
  <si>
    <t>Item</t>
  </si>
  <si>
    <t>Brand</t>
  </si>
  <si>
    <t>Supplier</t>
  </si>
  <si>
    <t>Unit Price £</t>
  </si>
  <si>
    <t>No. in pack</t>
  </si>
  <si>
    <t>Quantity</t>
  </si>
  <si>
    <t>Lifespan (weeks)</t>
  </si>
  <si>
    <t>Weekly cost</t>
  </si>
  <si>
    <t>Shopping list</t>
  </si>
  <si>
    <t>Comments</t>
  </si>
  <si>
    <t>F: Health</t>
  </si>
  <si>
    <t>Health care</t>
  </si>
  <si>
    <t>F</t>
  </si>
  <si>
    <t>Opticians - glasses</t>
  </si>
  <si>
    <t>Dentists - check up</t>
  </si>
  <si>
    <t>Dentists - treatment</t>
  </si>
  <si>
    <t>Personal care</t>
  </si>
  <si>
    <t>ASDA</t>
  </si>
  <si>
    <t>Paracetamol</t>
  </si>
  <si>
    <t>Cold remedy</t>
  </si>
  <si>
    <t>Plasters</t>
  </si>
  <si>
    <t xml:space="preserve">Savlon antiseptic cream </t>
  </si>
  <si>
    <t>First aid kit</t>
  </si>
  <si>
    <t>Wilko</t>
  </si>
  <si>
    <t>Tesco</t>
  </si>
  <si>
    <t>Tesco Paracetamol Tablets 500Mg 16 Pack</t>
  </si>
  <si>
    <t>Lemsip Cold And Flu Lemon Sachets X 10</t>
  </si>
  <si>
    <t>Tesco Clear Washproof Plasters 40S</t>
  </si>
  <si>
    <t>Savlon Antiseptic Cream 100g</t>
  </si>
  <si>
    <t>Tesco Health Family First Aid Kit. Kit contains: 10 x Washproof Plasters (7.2cm x 1.9cm) 2 x Fabric Dressing Strips (6cm x 10cm) 2 x Sterile Wound Pad (5cm x 5cm) 2 x Sterile Wound Pad (10cm x 10cm) 1 x Stretch Bandage (6cm x 4m) 1 x Crepe Bandage (7.5cm x 2m) 1 x Microporous Tape (1.25cm x 5m) 4 x Antiseptic Wipes 2 x Sterile Adhesive Dressings (5.3cm x 7cm) 2 x Sterile Adhesive Dressings (10cm x 7cm) 6 x Safety Pins Scissors 1 x Pair of Vinyl Gloves First Aid Guidance Leaflet</t>
  </si>
  <si>
    <t>Covid tests</t>
  </si>
  <si>
    <t>Band 1 (£23.80) includes examination, diagnosis, and scale and polish if needed.</t>
  </si>
  <si>
    <t xml:space="preserve">Lloyds Pharmacy </t>
  </si>
  <si>
    <t>Lateral flow test kit (non-travel)</t>
  </si>
  <si>
    <t>1 per person per week</t>
  </si>
  <si>
    <t>E: Household services</t>
  </si>
  <si>
    <t>E2A1</t>
  </si>
  <si>
    <t>Postage</t>
  </si>
  <si>
    <t>Stamps</t>
  </si>
  <si>
    <t>E2A2</t>
  </si>
  <si>
    <t>Telephone</t>
  </si>
  <si>
    <t>Mobile telephone (handset)</t>
  </si>
  <si>
    <t>Tescomobile</t>
  </si>
  <si>
    <t>Mobile telephone (bills)</t>
  </si>
  <si>
    <t>3GB internet data and unlimited minutes. For use with handset above.</t>
  </si>
  <si>
    <t>Telephone line rental</t>
  </si>
  <si>
    <t>TalkTalk via Moneysupermarket</t>
  </si>
  <si>
    <t xml:space="preserve">Via Moneysupermarket. TalkTalk up to 67Mb avg speed, unlimited downloads, 18 month contract, no setup cost. £282 total cost per year (also offers £75 cashback voucher Tesco/Amazon/M&amp;S after 90 days). </t>
  </si>
  <si>
    <t>C: Clothing and footwear</t>
  </si>
  <si>
    <t>Weekly cost £</t>
  </si>
  <si>
    <t xml:space="preserve">Shopping List </t>
  </si>
  <si>
    <t>C</t>
  </si>
  <si>
    <t>Pants</t>
  </si>
  <si>
    <t>Bras</t>
  </si>
  <si>
    <t>Sports Direct</t>
  </si>
  <si>
    <t>Black Foil Thermal Long Sleeve Top</t>
  </si>
  <si>
    <t>Black Foil Thermal Leggings</t>
  </si>
  <si>
    <t>Socks</t>
  </si>
  <si>
    <t>Primark</t>
  </si>
  <si>
    <t>T-shirts (long sleeved)</t>
  </si>
  <si>
    <t>T-shirts (short sleeved)</t>
  </si>
  <si>
    <t>Trousers (smart)</t>
  </si>
  <si>
    <t>Dress (summer)</t>
  </si>
  <si>
    <t>Dress (occasion)</t>
  </si>
  <si>
    <t>Next</t>
  </si>
  <si>
    <t>Skirt (smart)</t>
  </si>
  <si>
    <t>Jacket (casual)</t>
  </si>
  <si>
    <t>Jogging bottoms</t>
  </si>
  <si>
    <t>Cardigans</t>
  </si>
  <si>
    <t>Scarf (winter)</t>
  </si>
  <si>
    <t>Coat (winter)</t>
  </si>
  <si>
    <t>Asda</t>
  </si>
  <si>
    <t>Swimming costume</t>
  </si>
  <si>
    <t>H&amp;M</t>
  </si>
  <si>
    <t>Pyjamas (winter)</t>
  </si>
  <si>
    <t>Pyjamas (summer)</t>
  </si>
  <si>
    <t>Jeans</t>
  </si>
  <si>
    <t>Trousers (casual)</t>
  </si>
  <si>
    <t>Waterproof</t>
  </si>
  <si>
    <t>Go Outdoors</t>
  </si>
  <si>
    <t>Underwear</t>
  </si>
  <si>
    <t>M&amp;S</t>
  </si>
  <si>
    <t>7pk Pure Cotton High Leg Knickers - available in black or white</t>
  </si>
  <si>
    <t>Wild Blooms Wired Full Cup Bra A-E (range of styles, sizes and colours available at this price).</t>
  </si>
  <si>
    <t>Black Contrast Toe and Heel Ankle Socks 7 Pack</t>
  </si>
  <si>
    <t>Tights (winter)</t>
  </si>
  <si>
    <t>2-pack fine-knit tights. NB: Priced in H&amp;M as no knitted tights found in supermarkets</t>
  </si>
  <si>
    <t>Tights (everyday)</t>
  </si>
  <si>
    <t>Gloss 15 Denier Tights 5 Pack</t>
  </si>
  <si>
    <t>Petticoat</t>
  </si>
  <si>
    <t>2 petticoats lasting 20 years. From supermarket</t>
  </si>
  <si>
    <t>Black Lace Trim Slip. Available in black or nude</t>
  </si>
  <si>
    <t>Main clothing</t>
  </si>
  <si>
    <t>Vest tops/camisoles</t>
  </si>
  <si>
    <t>6 from Primark. Lasting 5 years.</t>
  </si>
  <si>
    <t>Jersey Cami Vest Top</t>
  </si>
  <si>
    <t>Thermal top</t>
  </si>
  <si>
    <t>2 thermal sets (tops and bottoms). Lasting 5 years. From supermarket</t>
  </si>
  <si>
    <t>Thermal bottoms</t>
  </si>
  <si>
    <t>3 needed. From supermarket. Lasting 1 year.</t>
  </si>
  <si>
    <t>Crew Neck T-Shirts 2 Pack. Range of colours and styles.</t>
  </si>
  <si>
    <t>2 needed. From supermarket. Lasting 1 year.</t>
  </si>
  <si>
    <t>Assorted Long Sleeve Jersey Tops 2 Pack</t>
  </si>
  <si>
    <t xml:space="preserve">Blouses </t>
  </si>
  <si>
    <t>2 blouses from Next. Lasting 4 years.</t>
  </si>
  <si>
    <t>Half Sleeve Top. Range of patterns.</t>
  </si>
  <si>
    <t xml:space="preserve">1 pair of smart trousers frrom Next. Lasting 5 years. </t>
  </si>
  <si>
    <t>Navy Blue Tailored Straight Leg Trousers</t>
  </si>
  <si>
    <t>1 pair of casual trousers from Next. Lasting 5 years.</t>
  </si>
  <si>
    <t>F&amp;F Black Spot Wide Leg Trousers. NB: F&amp;F range stocked in Next.</t>
  </si>
  <si>
    <t>Trousers (summer)</t>
  </si>
  <si>
    <t>1 pair of linen trousers from Next. Lasting 5 years.</t>
  </si>
  <si>
    <t>Linen Blend Taper Trousers</t>
  </si>
  <si>
    <t>Leggings</t>
  </si>
  <si>
    <t>2 pairs of leggings from supermarket. Lasting 1 year.</t>
  </si>
  <si>
    <t>Black Ribbed Leggings</t>
  </si>
  <si>
    <t>1 pair needed. Lasting 1 year. From supermarket</t>
  </si>
  <si>
    <t>Black Straight Leg Jersey Joggers</t>
  </si>
  <si>
    <t>2 pairs of jeans from M&amp;S/Next. Lasting 1 year.</t>
  </si>
  <si>
    <t>Sienna Straight Leg Jeans with Stretch. Range of colours</t>
  </si>
  <si>
    <t>3 summer dresses from supermarket. Lasting 3 years.</t>
  </si>
  <si>
    <t>Coral  Floral Print Midi Dress. Range of styles at same price</t>
  </si>
  <si>
    <t>2 occasion dresses from Next. One summer and one winter. Lasting 3 years.</t>
  </si>
  <si>
    <t>Roman Black Leaf Print Panel Dress</t>
  </si>
  <si>
    <t>Roman Black Star Foil Print Frill Dress</t>
  </si>
  <si>
    <t>Skirt (summer)</t>
  </si>
  <si>
    <t>1 summer skirt from supermarket. Lasting 5 years.</t>
  </si>
  <si>
    <t>Green Floral Print Button Up Midi Skirt</t>
  </si>
  <si>
    <t>1 smart skirt from supermarket. Lasting 5 years.</t>
  </si>
  <si>
    <t xml:space="preserve">Jersey Knee Length Pencil Skirt. </t>
  </si>
  <si>
    <t>Skirt (winter)</t>
  </si>
  <si>
    <t>Sainsbury's</t>
  </si>
  <si>
    <t>1 winter skirt from supermarket. Lasting 5 years.</t>
  </si>
  <si>
    <t>Black Plisse Midi Skirt</t>
  </si>
  <si>
    <t>Jumpers (light)</t>
  </si>
  <si>
    <t>3 medium-weight jumpers. From supermarket. Lasting 5 years.</t>
  </si>
  <si>
    <t>Cream Ribbed High Neck Jumper. Range of colours.</t>
  </si>
  <si>
    <t>Jumpers (thick)</t>
  </si>
  <si>
    <t>2 thick jumpers. From supermarket. Lasting 5 years.</t>
  </si>
  <si>
    <t>Tan Roll Neck Balloon Sleeve Jumper. Range of styles and colours.</t>
  </si>
  <si>
    <t xml:space="preserve">Hoody </t>
  </si>
  <si>
    <t>1 hoody from the supermarket. Lasting 1 year.</t>
  </si>
  <si>
    <t>Black Long Sleeve Hoodie range of colours and styles at this price</t>
  </si>
  <si>
    <t>2 cardigans from supermarket. Lasting 5 years.</t>
  </si>
  <si>
    <t>Grey Longline Open Front Cardigan (range of colours and styles at this price)</t>
  </si>
  <si>
    <t>Accessories</t>
  </si>
  <si>
    <t>Gloves (woolly)</t>
  </si>
  <si>
    <t>1 pair of woolly gloves from supermarket. Lasting 2 years.</t>
  </si>
  <si>
    <t>2-pack touchscreen gloves. 2 Pack, so would last 4 years</t>
  </si>
  <si>
    <t>Gloves (smart)</t>
  </si>
  <si>
    <t>1 pair of leather gloves from supermarket. Lasting 2 years.</t>
  </si>
  <si>
    <t>Leather Gloves</t>
  </si>
  <si>
    <t>1 winter scarf. From supermarket. Lasting 10 years.</t>
  </si>
  <si>
    <t>Blue Ombre Long Light Weight Scarf</t>
  </si>
  <si>
    <t>Scarves (summer)</t>
  </si>
  <si>
    <t>1 thin scarf. From supermarket. Lasting 10 years.</t>
  </si>
  <si>
    <t>Sage Green Butterfly Print Scarf</t>
  </si>
  <si>
    <t>Outer clothing</t>
  </si>
  <si>
    <t>Raincoat</t>
  </si>
  <si>
    <t>Cagoule. From supermarket. Lasting 5 years.</t>
  </si>
  <si>
    <t>Black Casual Pac a Mac</t>
  </si>
  <si>
    <t>Waterproof trousers</t>
  </si>
  <si>
    <t>1 pair of fully waterproof trousers from Blacks or Go Outdoors. Lasting 10 years.</t>
  </si>
  <si>
    <t>Peter Storm Women's Waterproof Trousers</t>
  </si>
  <si>
    <t>1 thick winter coat from supermarket. Lasting 5 years.</t>
  </si>
  <si>
    <t>Faux Fur Hooded Puffer Jacket</t>
  </si>
  <si>
    <t>Coat (summer)</t>
  </si>
  <si>
    <t>1 light summer coat from supermarket. Lasting 5 years.</t>
  </si>
  <si>
    <t>Double-Breasted Trench Coat</t>
  </si>
  <si>
    <t>Waterproof jacket from Blacks. Lasting 5 years.</t>
  </si>
  <si>
    <t xml:space="preserve">Women’s Downpour Waterproof Jacket. </t>
  </si>
  <si>
    <t>Short quilted mac jacket from supermarket. Lasting 5 years.</t>
  </si>
  <si>
    <t>Lilac Short Padded Coat</t>
  </si>
  <si>
    <t>Swimwear</t>
  </si>
  <si>
    <t>2 swimsuits from supermarket. Lasting 1 year.</t>
  </si>
  <si>
    <t>Monochrome Leaf Print Medium Tummy Control Swimsuit</t>
  </si>
  <si>
    <t>Nightwear</t>
  </si>
  <si>
    <t>2 sets of winter pyjamas. From supermarket. Lasting 2 years.</t>
  </si>
  <si>
    <t>Blue Henley Pyjamas</t>
  </si>
  <si>
    <t>2 sets of summer pyjamas. From supermarket. Lasting 2 years</t>
  </si>
  <si>
    <t>Floral Graphic Print Pyjamas</t>
  </si>
  <si>
    <t>Dressing gown (winter)</t>
  </si>
  <si>
    <t>From supermarket. Lasting 5 years</t>
  </si>
  <si>
    <t>Blue Polka Dot Print Fleece Dressing Gown</t>
  </si>
  <si>
    <t>Dressing gown (summer)</t>
  </si>
  <si>
    <t>Grey Soft Knit Robe</t>
  </si>
  <si>
    <t>Amazon</t>
  </si>
  <si>
    <t>Shoes (casual)</t>
  </si>
  <si>
    <t>Trainers</t>
  </si>
  <si>
    <t>Wellington boots</t>
  </si>
  <si>
    <t>Walking boots</t>
  </si>
  <si>
    <t>Shoes (smart)</t>
  </si>
  <si>
    <t>Flip flops</t>
  </si>
  <si>
    <t>Footwear</t>
  </si>
  <si>
    <t xml:space="preserve">Slippers </t>
  </si>
  <si>
    <t>1 pair lasting 1 year. From supermarket</t>
  </si>
  <si>
    <t>Pink Chenille Mule Slippers</t>
  </si>
  <si>
    <t>Clarks</t>
  </si>
  <si>
    <t>1 pair of flat smart shoes in black. From Clarks. Lasting 4 years.</t>
  </si>
  <si>
    <t>Hamble Loafer</t>
  </si>
  <si>
    <t>Flat and comfortable slip-on shoes. From Clarks. Lasting 4 years.</t>
  </si>
  <si>
    <t>Georgia Black Leather. Slip-on loafers</t>
  </si>
  <si>
    <t xml:space="preserve">1 pair of pumps or 'ballet' shoes. Leather or equivalent quality. Light colour e.g. white. From Clarks. Lasting 4 years. </t>
  </si>
  <si>
    <t xml:space="preserve">Couture Bloom Black Leather. 'Ballet pump' style. </t>
  </si>
  <si>
    <t>Beige Knitted Trainers</t>
  </si>
  <si>
    <t>From supermarket. Lasting 1 year.</t>
  </si>
  <si>
    <t>Silver Diamante Flatform Flip Flops</t>
  </si>
  <si>
    <t>Sandals (smart)</t>
  </si>
  <si>
    <t>Smart pair of sandals from Clarks. Lasting 2 years.</t>
  </si>
  <si>
    <t>Manilla Bonita</t>
  </si>
  <si>
    <t>From supermarket. Lasting 5 years.</t>
  </si>
  <si>
    <t>Dark Green Floral Print Wellington Boots</t>
  </si>
  <si>
    <t>Boots (winter)</t>
  </si>
  <si>
    <t>Knee-high boots. Sturdy, flat, non-slip and warm. Lasting 4 years.</t>
  </si>
  <si>
    <t>Orinoco 2 Hi Black Warmlined Leather. Cleated sole for grip.</t>
  </si>
  <si>
    <t>Boots (ankle)</t>
  </si>
  <si>
    <t>Ankle boots. From Clarks. Lasting 4 years.</t>
  </si>
  <si>
    <t>Orinoco Club</t>
  </si>
  <si>
    <t>Blacks</t>
  </si>
  <si>
    <t>From Blacks or Go Outdoors. Lasting 10 years.</t>
  </si>
  <si>
    <t>Peter Storm Women's Silverdale Waterproof Walking Shoe</t>
  </si>
  <si>
    <t>D: Housing costs</t>
  </si>
  <si>
    <t>D3</t>
  </si>
  <si>
    <t>Water rates</t>
  </si>
  <si>
    <t>D4</t>
  </si>
  <si>
    <t>N/A</t>
  </si>
  <si>
    <t>Council tax</t>
  </si>
  <si>
    <t>D5</t>
  </si>
  <si>
    <t>Contents insurance</t>
  </si>
  <si>
    <t>Insurance</t>
  </si>
  <si>
    <t>D6</t>
  </si>
  <si>
    <t>Fuel</t>
  </si>
  <si>
    <t>D7</t>
  </si>
  <si>
    <t>House maintenance</t>
  </si>
  <si>
    <t>Decorating and other house maintenance</t>
  </si>
  <si>
    <t xml:space="preserve">£100 per year to maintain condition of property and repair minor damage. Important to keep rented property in original condition in order to get deposit back. </t>
  </si>
  <si>
    <t>SFP</t>
  </si>
  <si>
    <t>Contents insurance based on 1 bed flat, social rent</t>
  </si>
  <si>
    <t>£76.68 paid in 12 monthly instalments of £6.39</t>
  </si>
  <si>
    <t>E: Household goods and services</t>
  </si>
  <si>
    <t>E1</t>
  </si>
  <si>
    <t>Hall</t>
  </si>
  <si>
    <t>Lampshade for central light</t>
  </si>
  <si>
    <t>Light bulb</t>
  </si>
  <si>
    <t>Door mat</t>
  </si>
  <si>
    <t>Argos</t>
  </si>
  <si>
    <t>Argos Home Coir Flatweave Doormat - 40 x 60cm - Natural (with non-slip backing)</t>
  </si>
  <si>
    <t>The Range</t>
  </si>
  <si>
    <t>Living area</t>
  </si>
  <si>
    <t xml:space="preserve">Curtains </t>
  </si>
  <si>
    <t>Curtain pole</t>
  </si>
  <si>
    <t>Dunelm</t>
  </si>
  <si>
    <t>Wire for net curtains</t>
  </si>
  <si>
    <t>Wilko 108 inch Curtain Wire</t>
  </si>
  <si>
    <t>Sofa (2 seater)</t>
  </si>
  <si>
    <t>Cushions</t>
  </si>
  <si>
    <t>Storage unit</t>
  </si>
  <si>
    <t>Bin</t>
  </si>
  <si>
    <t>B&amp;Q</t>
  </si>
  <si>
    <t>Personalisation</t>
  </si>
  <si>
    <t>Dining area</t>
  </si>
  <si>
    <t>Tablemats</t>
  </si>
  <si>
    <t>Set of 4 Simply Grey Polka Dot Placemats (range of patterns and colours)</t>
  </si>
  <si>
    <t>Coasters</t>
  </si>
  <si>
    <t>Set of 4 Simply Grey Polka Dot Coasters</t>
  </si>
  <si>
    <t>Kitchen</t>
  </si>
  <si>
    <t>Blind</t>
  </si>
  <si>
    <t>Argos Home Blackout Insulating Roller Blind - 4ft - White. W120cm x D160cm</t>
  </si>
  <si>
    <t>Kitchen, tableware</t>
  </si>
  <si>
    <t>Crockery</t>
  </si>
  <si>
    <t>Mugs</t>
  </si>
  <si>
    <t>Cutlery</t>
  </si>
  <si>
    <t>Serving spoons</t>
  </si>
  <si>
    <t>B&amp;M</t>
  </si>
  <si>
    <t>Wine glasses</t>
  </si>
  <si>
    <t>White Salt and Pepper Pots</t>
  </si>
  <si>
    <t>Kitchen, appliances</t>
  </si>
  <si>
    <t>Microwave</t>
  </si>
  <si>
    <t>Fridge freezer</t>
  </si>
  <si>
    <t>Cooker</t>
  </si>
  <si>
    <t>Washing machine</t>
  </si>
  <si>
    <t>Toaster</t>
  </si>
  <si>
    <t>Kettle</t>
  </si>
  <si>
    <t>Hand blender</t>
  </si>
  <si>
    <t>Tower 3-in-1 Hand Blender. Includes stainless steel blade, 600ml beaker, chopping attachment and whisk</t>
  </si>
  <si>
    <t>Kitchen, cookware</t>
  </si>
  <si>
    <t>Saucepans</t>
  </si>
  <si>
    <t>Frying pan</t>
  </si>
  <si>
    <t>Knives</t>
  </si>
  <si>
    <t>Kitchen, accessories</t>
  </si>
  <si>
    <t>Roasting tin</t>
  </si>
  <si>
    <t>Bun tin</t>
  </si>
  <si>
    <t>Cake tin</t>
  </si>
  <si>
    <t>Colander</t>
  </si>
  <si>
    <t>Sieve</t>
  </si>
  <si>
    <t>Cheese grater</t>
  </si>
  <si>
    <t>Dunelm Silicone Grater</t>
  </si>
  <si>
    <t>Utensils</t>
  </si>
  <si>
    <t>Measuring jug</t>
  </si>
  <si>
    <t>Scales</t>
  </si>
  <si>
    <t>Bottle opener</t>
  </si>
  <si>
    <t>Storage canisters</t>
  </si>
  <si>
    <t>Kitchen, consumables</t>
  </si>
  <si>
    <t>Bin liners</t>
  </si>
  <si>
    <t>Tray</t>
  </si>
  <si>
    <t>George Home Plastic Tray</t>
  </si>
  <si>
    <t>Washing up bowl</t>
  </si>
  <si>
    <t>George Home Recycled Plastic Washing Up Bowl Grey</t>
  </si>
  <si>
    <t>Drainer</t>
  </si>
  <si>
    <t>George Home Recycled Plastic Dish Drainer Grey</t>
  </si>
  <si>
    <t>Kitchen, laundry</t>
  </si>
  <si>
    <t>Fabric conditioner</t>
  </si>
  <si>
    <t>Iron</t>
  </si>
  <si>
    <t>Ironing board</t>
  </si>
  <si>
    <t>Ironing board cover</t>
  </si>
  <si>
    <t>Kitchen, cleaning</t>
  </si>
  <si>
    <t>Vacuum cleaner</t>
  </si>
  <si>
    <t>VAX Mach Air Revive UCA2GEV1 Upright Bagless Vacuum Cleaner - Grey &amp; Red</t>
  </si>
  <si>
    <t>Dustpan &amp; brush</t>
  </si>
  <si>
    <t>Scouring/sponge pads</t>
  </si>
  <si>
    <t>Springforce Sponge Scourers 8 Pack</t>
  </si>
  <si>
    <t>Kitchen towel</t>
  </si>
  <si>
    <t>Tesco Kitchen Towel 4 Roll</t>
  </si>
  <si>
    <t>Oven gloves</t>
  </si>
  <si>
    <t>Tea towels</t>
  </si>
  <si>
    <t xml:space="preserve">Hand towels </t>
  </si>
  <si>
    <t>Washing up liquid</t>
  </si>
  <si>
    <t>Foil</t>
  </si>
  <si>
    <t>Tesco Kitchen Foil 10M X 290Mm</t>
  </si>
  <si>
    <t>Clingfilm</t>
  </si>
  <si>
    <t>Tesco Antibacterial Multi Purpose Spray 750Ml</t>
  </si>
  <si>
    <t>Rubber gloves</t>
  </si>
  <si>
    <t>Tesco Dishwashing Rubber Gloves (rang of sizes)</t>
  </si>
  <si>
    <t>Bleach</t>
  </si>
  <si>
    <t>Sewing kit</t>
  </si>
  <si>
    <t>Bathroom</t>
  </si>
  <si>
    <t>Medicine cabinet</t>
  </si>
  <si>
    <t>Flannels</t>
  </si>
  <si>
    <t>Bath mat (for floor)</t>
  </si>
  <si>
    <t>Shower curtain</t>
  </si>
  <si>
    <t>Argos Home Shower Curtain - White (hand-washable)</t>
  </si>
  <si>
    <t>Toilet cleaner</t>
  </si>
  <si>
    <t>Toilet brush</t>
  </si>
  <si>
    <t>Tesco Toilet Brush</t>
  </si>
  <si>
    <t>Squeegee</t>
  </si>
  <si>
    <t>Salter Electronic Glass Platform Scales</t>
  </si>
  <si>
    <t>Bedroom</t>
  </si>
  <si>
    <t xml:space="preserve">Bedroom </t>
  </si>
  <si>
    <t>Bed, double</t>
  </si>
  <si>
    <t>Mattress, double</t>
  </si>
  <si>
    <t>Dreams</t>
  </si>
  <si>
    <t>Mattress protector</t>
  </si>
  <si>
    <t>Wardrobe</t>
  </si>
  <si>
    <t>Drawers</t>
  </si>
  <si>
    <t>Bedside table</t>
  </si>
  <si>
    <t>Lamp</t>
  </si>
  <si>
    <t xml:space="preserve">Duvet </t>
  </si>
  <si>
    <t>Pillows</t>
  </si>
  <si>
    <t>Sheets, fitted</t>
  </si>
  <si>
    <t>Duvet covers</t>
  </si>
  <si>
    <t>Pillow cases</t>
  </si>
  <si>
    <t>George Home White Brushed Cotton Pillowcase Pair</t>
  </si>
  <si>
    <t>Washing liquid</t>
  </si>
  <si>
    <t>DFS</t>
  </si>
  <si>
    <t>Security</t>
  </si>
  <si>
    <t>Locking door chain</t>
  </si>
  <si>
    <t>FG3 added safety chain for door B&amp;Q, 20 years</t>
  </si>
  <si>
    <t>Smith &amp; Locke TT4000 Chrome effect Steel Door chain, (L)195mm</t>
  </si>
  <si>
    <t>Door viewer</t>
  </si>
  <si>
    <t>Spy hole, 20 years.</t>
  </si>
  <si>
    <t>Smith &amp; Locke Chrome effect Galvanised Brass 200° Door viewer, (Dia)25.9mm</t>
  </si>
  <si>
    <t>For outside, cheapest coconut matting 'welcome' style, Argos, Wilko, Homebase, 5 years.</t>
  </si>
  <si>
    <t>For inside, rubber backed approx. £5, Argos, Wilko, Homebase, 5 years.</t>
  </si>
  <si>
    <t xml:space="preserve">Approx. £10-£15, Wilko, B+Q, Argos, JL, would last long time but may want to replace every 10 years when flat is redecorated. CB3 changed all lightshades to £20, lasting 10 years. CB4 said: Dunelm, £25, 10 years. </t>
  </si>
  <si>
    <t>Henna 3 Tier 28cm Grey Faux Linen Shade (range of colours/styles available at same price)</t>
  </si>
  <si>
    <t xml:space="preserve">Energy efficient bulb. FG3 said 2 years </t>
  </si>
  <si>
    <t>Wilko 1 pack Bayonet B22/BC LED 810 Lumens Dimmabl e Daylight GLS Light Bulb</t>
  </si>
  <si>
    <t>Coat hooks</t>
  </si>
  <si>
    <t>Row of 4 hooks. Argos, Wilko, Homebase.  20 years.</t>
  </si>
  <si>
    <t>Wilko Chrome and Pine Key Hook Rail</t>
  </si>
  <si>
    <t>Shoe storage</t>
  </si>
  <si>
    <t>Shoe rack/cupboard to hold 12 pairs (could be in hall or bedroom), approx. £20, Ikea, B+Q, Argos, 20 years</t>
  </si>
  <si>
    <t>Habitat Jorn 4 Tier Shoe Rack - White</t>
  </si>
  <si>
    <t>Lined and washable, eyelet or tab top style curtains, Dunelm, 10 years. FG3 increased quality to approx. £60 for pair. Said increased price could include larger dimensions to give more choice. Washable blackout throughout</t>
  </si>
  <si>
    <t>Wilko Stone Eclipse Eyelet Blackout Curtains 228 W x 228cm D (machine washable at 30 degrees)</t>
  </si>
  <si>
    <t>Metal curtain pole from Wilkos/Dunelm/B&amp;Q. Lasting 15 years. FG3 increased lifetime to 20 years</t>
  </si>
  <si>
    <t>Wilko Tivoli 170 - 300cm Extendable Satin Silver Effect Curtain Pole</t>
  </si>
  <si>
    <t>Net curtains</t>
  </si>
  <si>
    <t>Cheapest nets for privacy, Dunelm, Ikea, Argos, B+Q, 10 years. CB3 reduced lifetime to 7 years</t>
  </si>
  <si>
    <t xml:space="preserve">Needed for the net curtains. CB3 said 7 years </t>
  </si>
  <si>
    <t>1 needed. From DFS/SCS. Matching sofa and sofa bed. £1000 for both. Fabric. Lasting 15 years. CB4 changed lifetime to 10 years</t>
  </si>
  <si>
    <t xml:space="preserve">Ludo 2 Seater Sofa </t>
  </si>
  <si>
    <t>Sofabed (2 seater)</t>
  </si>
  <si>
    <t>Ludo 2 Seater Sofa Bed</t>
  </si>
  <si>
    <t>Foot stool</t>
  </si>
  <si>
    <t xml:space="preserve">Footstool with storage. Matching sofas. From DFS/SCS. Lasting 15 years. </t>
  </si>
  <si>
    <r>
      <rPr>
        <sz val="8"/>
        <rFont val="Arial"/>
        <family val="2"/>
      </rPr>
      <t>Ludo Storage Footstoo</t>
    </r>
    <r>
      <rPr>
        <b/>
        <sz val="8"/>
        <rFont val="Arial"/>
        <family val="2"/>
      </rPr>
      <t>l</t>
    </r>
  </si>
  <si>
    <t xml:space="preserve">4 cushions approx. £10 each. From Dunelm/supermarket/The Range. Lasting 10 years. CB4 reduced lifetime to 2 years </t>
  </si>
  <si>
    <t>Textured Chenille Cushion</t>
  </si>
  <si>
    <t>Side tables</t>
  </si>
  <si>
    <t xml:space="preserve">Nested side tables. Not flat pack. From Dunelm/The Range/B&amp;Q. Lasting 20 years (matching with bookcase). CB4 changed to cheaper side tables in line with Ppens. </t>
  </si>
  <si>
    <t>Argos Home Gloucester Nest of 3 Solid Wood Tables - Natural</t>
  </si>
  <si>
    <t>Freestanding radiator</t>
  </si>
  <si>
    <t>Small oil-filled radiator from Dunelm/B&amp;Q/The Range/Amazon/Argos. Lasting 10 years.</t>
  </si>
  <si>
    <t>Oil Filled Radiator - 2000W Includes thermostatic control and caster wheels</t>
  </si>
  <si>
    <t>Bookcase</t>
  </si>
  <si>
    <t xml:space="preserve">Half-height bookcase. Solid (not flat pack) and matching the side tables. Lasting 20 years. </t>
  </si>
  <si>
    <t>Argos Home Hartland Short Bookcase - Light Wood</t>
  </si>
  <si>
    <t>3ft wide. From Dunelm/The Range/B&amp;Q/Homebase/Wilkos.  Solid wood lasting 20 years.</t>
  </si>
  <si>
    <t>Corona Pine Sideboard. H81cm x W100cm x D43cm</t>
  </si>
  <si>
    <t xml:space="preserve">Personalisation budget of £100 every 10 years. For ornaments, picture frames etc. CB changed in line with SMP: £50 per year for items to personalise home, e.g. vase, ornaments, pictures, mirror etc. </t>
  </si>
  <si>
    <t>Table lamp</t>
  </si>
  <si>
    <t xml:space="preserve">1 table lamp needed. From Dunelm/B&amp;Q/Homebase/(Ikea)/Wilkos. Lifetime not discussed. Lifetime set to 10 years for now, in line with other living room items.CB3 increased budget to approximately £10 to include features such as dimmable or directional lighting. Lifetime 15 years. CB4 increased budget to £10-£12. </t>
  </si>
  <si>
    <t>Rimini Cream Touch Dimmable lamp</t>
  </si>
  <si>
    <t>Floor lamp</t>
  </si>
  <si>
    <t>1 directional floor lamp needed. From Dunelm/B&amp;Q/Homebase/(Ikea)/Wilko. Lifetime not discussed. CB3 set lifetime to 15 years.</t>
  </si>
  <si>
    <t>Matt Grey Mother &amp; child floor light</t>
  </si>
  <si>
    <t>Dining table</t>
  </si>
  <si>
    <t>Solid (not flat pack) table from Dunelm/B&amp;Q, Homebase/Ikea/Wilko/Argos. Lasting 20 years.</t>
  </si>
  <si>
    <t>Argos Home Extending 4 - 6 Seater Table - Light Oak Effect</t>
  </si>
  <si>
    <t>Dining chairs</t>
  </si>
  <si>
    <t>Dropleaf table and 4 chairs (2 solid, 2 folding). Argos, Supermarket. 20 years. CB3 changed in line with SFP: 4 needed. From Dunelm/B&amp;Q, Homebase/Ikea/Wilko/Argos. Lasting 20 years. CB4 changed spec in line with Ppens: Folding table and 4 solid chairs.. From Argos, ikea, Amazon. Lasting 20 years</t>
  </si>
  <si>
    <t>Habitat Chicago Pair of Dining Chairs - Two Tone</t>
  </si>
  <si>
    <t>Set of 6. Cork backed. 20 years. CB3 changed lifetime to 5 years.</t>
  </si>
  <si>
    <t xml:space="preserve">Energy efficient. FG3 said 2 years </t>
  </si>
  <si>
    <t>Cheap roller blind from B&amp;Q/Argos/Dunelm. Lasting 10 years. CB3 reduced lifetime to 5 years</t>
  </si>
  <si>
    <t>8 place settings needed: dinner plate, side plate, bowl. From supermarket. 5 years.</t>
  </si>
  <si>
    <t>George Home Basic White Dinner Set. Each set includes 4x plates, side plates and bowls.</t>
  </si>
  <si>
    <t xml:space="preserve">8 needed. From supermarket. CB3 said 8 mugs lasting 5 years. </t>
  </si>
  <si>
    <t>George Home Simply White Mug Pack (4pce)</t>
  </si>
  <si>
    <t xml:space="preserve">8 place settings needed: knife, fork, spoon, teaspoon. From supermarket. Cheapest stainless steel okay. No lifetime given. Lifetime set at 10 years for now. CB3 changed lifetime to 20 years. </t>
  </si>
  <si>
    <t>George Home Horizon Stainless Steel Cutlery Set 32 Piece</t>
  </si>
  <si>
    <t>CB4 added in ine with SMP: 2 large serving spoons, Argos, Supermarket. 20 years.</t>
  </si>
  <si>
    <t>George Home York Stainless Steel Serving Spoons</t>
  </si>
  <si>
    <t>Tumblers - tall</t>
  </si>
  <si>
    <t xml:space="preserve">4 needed. Cheapest ok. Argos, Supermarket. 5 years.CB3 said 8 tall and 8 short tumblers plus 8 wine glasses. Approx. £2 per glass. CB4 changed: 8 tall glasses and 8 wine glassed. Cheapest, 2 years </t>
  </si>
  <si>
    <t xml:space="preserve">George Home Feature Hiball Glass </t>
  </si>
  <si>
    <t xml:space="preserve">4 needed. Cheapest ok. Argos, Supermarket. 5 years. CB3 said 8 tall and 8 short tumblers plus 8 wine glasses. Approx. £2 per glass. CB4 changed: 8 tall glasses and 8 wine glassed. Cheapest, 2 years </t>
  </si>
  <si>
    <t xml:space="preserve">George Home Four Lyric Wine Glasses </t>
  </si>
  <si>
    <t>Cruet</t>
  </si>
  <si>
    <t>No other info. CB4 confirmed salt and pepper pots, 20 years</t>
  </si>
  <si>
    <t>Gravy boat</t>
  </si>
  <si>
    <t>Ceramic gravy boat, Argos, Supermarket, 20 years</t>
  </si>
  <si>
    <t>George Home White Gravy Boat</t>
  </si>
  <si>
    <t>Napkins</t>
  </si>
  <si>
    <t>Tesco Napkins White 33Cm 2Ply 50 Pack</t>
  </si>
  <si>
    <t>1 needed. No other details discussed. Ppens said: Cheapest 700w ok, Supermarket, 8 years. Cb3 increased budget to £100 and said the microwave would last 5 years. CB4 lowered spec in line with Ppens: Cheapest 700w ok, Supermarket, 8 years.</t>
  </si>
  <si>
    <t xml:space="preserve">Manual Microwave - White (700W) </t>
  </si>
  <si>
    <t>AO</t>
  </si>
  <si>
    <t>1 needed. No other details discussed. Ppens said: 50/50 frost free Fridge freezer, Currys, AO, 10 years. CB3 agreed with these specs.</t>
  </si>
  <si>
    <t>Electra ECFF165WE 50/50 Frost Free Fridge Freezer - White - F Rated</t>
  </si>
  <si>
    <t xml:space="preserve">1 needed. No other details discussed. Ppens said: Electric oven and hob, lot of debate about whether hob should be halogen induction (phasing out of gas in approx. 15 years) price standard electric and halogen induction and take to check back, Currys, AO, 10 years. CB3 said induction hob was not necessary. </t>
  </si>
  <si>
    <t>Indesit Cloe IS5V4KHW 50cm Electric Cooker with Ceramic Hob - White - A Rated</t>
  </si>
  <si>
    <t>Currys</t>
  </si>
  <si>
    <t>1 needed. No other details discussed. Ppens said: 7kg, 1200 rpm, good energy rating washing machine, Currys, AO, 8 years. 5 loads a fortnight for couple. CB3 agreed with these specs</t>
  </si>
  <si>
    <t>Beko WTL82051W 8Kg Washing Machine with 1200 rpm - White - C Rated</t>
  </si>
  <si>
    <t xml:space="preserve">1 needed. No other details discussed. Ppens said: Mid-range Supermarket quality, Supermarket, 6 years. CB3 agreed with these specs. </t>
  </si>
  <si>
    <t>George Home Grey textured 2 Slice Toaster</t>
  </si>
  <si>
    <t>George Home Grey Textured Fast Boil Kettle</t>
  </si>
  <si>
    <t>Slow cooker</t>
  </si>
  <si>
    <t>1 needed. No other details discussed. Ppens said: Small slow cooker, cheapest ok, Supermarket, 15 years. CB3 agreed with these specs</t>
  </si>
  <si>
    <t>George Home Grey Compact Slow Cooker</t>
  </si>
  <si>
    <t>Hand blender added. CB3 agreed specs in line with Ppens: Multi-purpose hand blender with whisk attachment, Supermarket, Argos, The Range, B+M, 10 years</t>
  </si>
  <si>
    <t>Saucepans needed. No other details discussed. Ppens said: Set of 3 or 4 non-stick saucepans, cheapest recognisable brand e.g. Tefal, 8 years or 15 years no decision. CB3 said 8 years.</t>
  </si>
  <si>
    <t>Tefal Delight Non-stick Pan Set. Set Consists of 14cm Milkpan, 16/18cm Saucepans with Lids, 20/24cm Frying Pans</t>
  </si>
  <si>
    <t xml:space="preserve"> included in set above. CB4 said 8 years</t>
  </si>
  <si>
    <t>Set of knives needed. No other details discussed. Ppens said: Knife set approx. £50-60, Argos, The Range, 35 years. CB3 changed lifetime to 15 years.</t>
  </si>
  <si>
    <t>Joseph Joseph Duo 5 Piece Knife Block Set - Multicoloured</t>
  </si>
  <si>
    <t>Knife sharpener</t>
  </si>
  <si>
    <t xml:space="preserve"> FG3 confirmed 15 years in line with knife set. </t>
  </si>
  <si>
    <t>Knife Sharpener</t>
  </si>
  <si>
    <t>Baking sheet</t>
  </si>
  <si>
    <t>CB3 added 2 baking trays from Asda, lasting 5 years</t>
  </si>
  <si>
    <t>George Home Non-Stick Grey 40cm Oven Tray</t>
  </si>
  <si>
    <t>CB3 added 1 roasting tin from Asda, lasting 5 years</t>
  </si>
  <si>
    <t>George Home Non-Stick Roaster Grey 38cm</t>
  </si>
  <si>
    <t>CB3 added 1 bun tin from Asda, lasting 5 years</t>
  </si>
  <si>
    <t>George Home Non-Stick 6 Cup Muffin Tray</t>
  </si>
  <si>
    <t>No other details discussed. Ppens said Two shallow cake tins, non-stick, Supermarket, Argos, The Range, B+M, 5 years. CB4 said 2 needed</t>
  </si>
  <si>
    <t>George Home Non-Stick Springform Cake Tin</t>
  </si>
  <si>
    <t>Loaf tin</t>
  </si>
  <si>
    <t>CB3 added 1 loaf tin from Asda, lasting 5 years</t>
  </si>
  <si>
    <t>George Home Non-Stick Loaf Pan 24cm</t>
  </si>
  <si>
    <t xml:space="preserve">1 needed. No other details discussed. Ppens said: Grater with tub and lid attachment, 1 up from bottom quality, Supermarket, Argos, The Range, B+M, 20 years. CB3 changed to standard box grater, lasting 10 years. Cb4 increased lifetime to 20 years in line with Ppens. FG3 increased quality - silicone base and handle </t>
  </si>
  <si>
    <t xml:space="preserve">1 needed. No other details discussed. Ppens said: Metal colander, Supermarket, Argos, The Range,B+M, 35 years CB3 changed lifetime to 15 years. CB4 increased to 35 years in line with Ppens </t>
  </si>
  <si>
    <t>George Home Stainless Steel Colander</t>
  </si>
  <si>
    <t xml:space="preserve">1 needed. No other details discussed.CB3 changed lifetime to 15 years.  </t>
  </si>
  <si>
    <t>George Home Stainless Steel Sieve</t>
  </si>
  <si>
    <t>Casserole dish</t>
  </si>
  <si>
    <t>Pyrex casserole dish. No other details discussed. Ppens said: Set of 3 pyrex casserole dishes, different sizes, Supermarket, Argos, The Range, B+M, 35 years. Cb3 changed lifetime to 15 years. CB4 increased to 35 years in line with Ppens</t>
  </si>
  <si>
    <t>Pyrex 3 Piece Clear Casserole Set</t>
  </si>
  <si>
    <t>Lasagne dish</t>
  </si>
  <si>
    <t xml:space="preserve">1 needed. No other details discussed. Lifetime set to 35 years for now in line with casserole dishes. CB3 changed lifetime to 15 years. </t>
  </si>
  <si>
    <t>Pyrex Glass Dish With Lid 1.5L</t>
  </si>
  <si>
    <t>Utensils needed. No other details discussed. Ppens said: Silicone utensil set, cheapest ok, Supermarket, Argos, 10 years</t>
  </si>
  <si>
    <t>Argos Home Silicone 8 Piece Utensil Set - Black. Includes                               Utensil caddy.
Serving spoon.
Slotted turner.
Spatula.
Slotted masher.
Whisk.
Pastry brush, Icing spreader.</t>
  </si>
  <si>
    <t>Wooden spoons</t>
  </si>
  <si>
    <t xml:space="preserve">Wooden spoons needed. No other details discussed. Lifetime set at 5 years for now. CB3 said 3 spoons, lasting 2 years. </t>
  </si>
  <si>
    <t>George Home Wooden Spoon</t>
  </si>
  <si>
    <t>1 needed. No other details discussed. Lifetime set at 5 years for now. CB3 said 4 years.</t>
  </si>
  <si>
    <t>George Home Corkscrew - with built-in bottle opener</t>
  </si>
  <si>
    <t>TIn opener</t>
  </si>
  <si>
    <t xml:space="preserve">CB4 added electric tin opener in line with Ppens: Approx. £10 lasting 6 years. </t>
  </si>
  <si>
    <t>George Home Black Electric Can Opener</t>
  </si>
  <si>
    <t>Peeler</t>
  </si>
  <si>
    <t>1 needed. No other details discussed. Ppens said: Cheap peeler, Supermarket, Argos, The Range, B+M, 2 years</t>
  </si>
  <si>
    <t>George Home Plastic Peeler</t>
  </si>
  <si>
    <t>Cb4 added in line with couples: Pyrex jug, Supermarket, Argos, The Range, B+M, 35 years</t>
  </si>
  <si>
    <t>Pyrex Measuring Jug</t>
  </si>
  <si>
    <t>1 needed. No other details discussed. Ppens said: Digital scales, cheapest ok, Supermarket, Argos, The Range, B+M, 20 years, plus battery</t>
  </si>
  <si>
    <t>George Home White Digital Scale</t>
  </si>
  <si>
    <t>Batteries</t>
  </si>
  <si>
    <t xml:space="preserve">Batteries for scales and bedroom clocks. Replaced how often? Lifetime set to 2 years for now. CB4 changed: £15 budget per year to cover all batteries </t>
  </si>
  <si>
    <t>Mixing bowls</t>
  </si>
  <si>
    <t>Cb4 added in line with couples: Set of pyrex or equivalent glass bowls, Supermarket, Argos, The Range, B+M, 35 years</t>
  </si>
  <si>
    <t>Pyrex 3 Piece Glass Bowl Set</t>
  </si>
  <si>
    <t>Chopping board</t>
  </si>
  <si>
    <t>No other details discussed. Ppens said: 3 wooden chopping boards (one for meat, veg + bread), Supermarket, Argos, The Range, B+M, 20 years. CB3 changed to a set of solid plastic chopping boards, lasting 5 years.</t>
  </si>
  <si>
    <t>Plastic Chopping Boards</t>
  </si>
  <si>
    <t>CB3 added cheapest silicone oven gloves. Lasting 5 years.</t>
  </si>
  <si>
    <t>Grey Silicone Double Oven Glove</t>
  </si>
  <si>
    <t xml:space="preserve">CB3 added 1 small pedal bin for kitchen. Cb4 changed to 25L, 15 years </t>
  </si>
  <si>
    <t>Tontarelli 25 Litre Swing Top Bin - Black</t>
  </si>
  <si>
    <t>CB3 added 1 bin liner per day. Cb4 said change every 2 days</t>
  </si>
  <si>
    <t>Tesco 30 pedal bin liners 22L</t>
  </si>
  <si>
    <t>1 needed. No other details discussed. Ppens said: Plastic washing up bowl, Supermarket, 2 years. CB3 agreed with specs</t>
  </si>
  <si>
    <t>1 needed. No other details discussed. Ppens said: Plastic drainer, Supermarket, 2 years. CB3 agreed with specs</t>
  </si>
  <si>
    <t>Storage containers</t>
  </si>
  <si>
    <t>Set of plastic tubs with sealed lids for food storage. No other details discussed. Ppens said: Set of plastic tubs with press on lids, Supermarket, Argos, Home Bargains, 10 years.CB4 changed to IKEA 17-piece set, 5 years</t>
  </si>
  <si>
    <t>IKEA PRUTA Plastic Container / Food Storage Containers 17 Piece Set (Ikea set sold on Amazon)</t>
  </si>
  <si>
    <t>Tray table approx £10, Argos, 20 years. CB4 changed to two plastic trays.</t>
  </si>
  <si>
    <t>For tea, coffee, sugar. No other details discussed. Lifetime set to 5 years for now. CB3 changed lifetime to 10 years</t>
  </si>
  <si>
    <t>Set Of 3 Tea, Coffee &amp; Sugar Canister - Cream. Range of colours.</t>
  </si>
  <si>
    <t>Kitchen towel holder</t>
  </si>
  <si>
    <t xml:space="preserve">Freestanding holder for kitchen roll. CB3 said it would last 10 years. </t>
  </si>
  <si>
    <t>Tuscan Bamboo Kitchen Roll Holder - Grey</t>
  </si>
  <si>
    <t>Liquid or powder. No other details discussed. 5 washes per fortnight</t>
  </si>
  <si>
    <t>ASDA Sensitive Non-Bio Liquid 40 Washes</t>
  </si>
  <si>
    <t>No other details discussed. 5 washes per fortnight</t>
  </si>
  <si>
    <t>ASDA Sensitive Pure Cotton Fabric Softener 74 washes</t>
  </si>
  <si>
    <t>Soda crystals</t>
  </si>
  <si>
    <t xml:space="preserve">For laundry and washing machine maintanence. No other details discussed. Lifetime set to 3 months for now. CB3 said used for one wash per week. </t>
  </si>
  <si>
    <t>Dri Pak Soda Crystals (1 kg). Product recommends 1 Tablespoon (20g) in wash to soften water. 1000g/20g=50 weeks</t>
  </si>
  <si>
    <t>Airer</t>
  </si>
  <si>
    <t xml:space="preserve">Free standing airer, sturdy. Mid-range from Dunelm/Wilko/Supermarket/The Range. Lasting 10 years. CB3 changed lifetime to 15 years </t>
  </si>
  <si>
    <t>Wileda 3 tier airer 15M</t>
  </si>
  <si>
    <t>Over radiator airer</t>
  </si>
  <si>
    <t>Addis Radiator Airer. NB: 4 provided as sold in packs of 2. Checked elsewhere and couldn't find 3 pack.</t>
  </si>
  <si>
    <t>No other details discussed. Ppens said: Steam iron, approx. £25, Supermarket, Argos, The Range, B+M, 5 years</t>
  </si>
  <si>
    <t>Russell Hobbs Wrap and Clip Easy Store Steam Iron </t>
  </si>
  <si>
    <t>No other details discussed. Ppens said: Sturdy ironing board, 1 or 2 up the range, Argos, Supermarket, 35 years. CB3 changed lifetime to 15 years.</t>
  </si>
  <si>
    <t>Habitat Medium 110x34cm Ironing Board</t>
  </si>
  <si>
    <t xml:space="preserve">CB3 added cover. Cheapest okay. Replaced yearly. Cb4 changed to 2 years in line with Ppens </t>
  </si>
  <si>
    <t>Argos Home Medium 110x34cm Ironing Board Cover</t>
  </si>
  <si>
    <t>Washing basket</t>
  </si>
  <si>
    <t>Washing basket to carry the laundry to machine, 10 years. Wilko/Argos</t>
  </si>
  <si>
    <t>Strata 60 Litre Flexible Laundry Basket</t>
  </si>
  <si>
    <t>Laundry pegs</t>
  </si>
  <si>
    <t>Pegs to hang clothes to dry. 24 pegs lasting 3 years.</t>
  </si>
  <si>
    <t>Wilko Multicoloured Snapper Pegs 36 pack</t>
  </si>
  <si>
    <t>Spray mop</t>
  </si>
  <si>
    <t>No other details discussed. Lifetime set to 3 years for now.  CB3 changed lifetime to 10 years.  CB4 specified spray mop, 5 years</t>
  </si>
  <si>
    <t>Addis Spray Mop with machine washable microfibre mop head</t>
  </si>
  <si>
    <t>Mop head</t>
  </si>
  <si>
    <t>CB3 added mop head. Changed every six months. CB4 added washable spray mop refill replaced every 2 years</t>
  </si>
  <si>
    <t>Spray Mop Refill</t>
  </si>
  <si>
    <t xml:space="preserve">No other details discussed. Ppens said: Basic upright vacuum cleaner, e.g. Hoover, Electrolux brand, Argos, 8 years. Cb3 reduced lifetime to 5 years. Cb4 changed lifetime to 8 years in line with Ppens </t>
  </si>
  <si>
    <t>No other details discussed. Ppens said: Cheap dust pan and brush, B&amp;Q, 5 years. CB3 reduced lifetime to 2 years.  Cb4 changed to long-handled dustpan and brush, 5 years</t>
  </si>
  <si>
    <t>Wilko Long Handled Dustpan and Brush Set</t>
  </si>
  <si>
    <t>Kitchen towel needed. No other details discussed. Ppens said: 2 pack replaced every 3 weeks. CB3 agreed with specs.</t>
  </si>
  <si>
    <t>Dish cloths</t>
  </si>
  <si>
    <t>Savers</t>
  </si>
  <si>
    <t>CB3 added one pack of woven dish cloths. 1 cloth per month. Cb4 suggested 7-pack of cloths on a roll (such as Elbow Grease). Washable. Lasting 1 year</t>
  </si>
  <si>
    <t>Elbow Grease Power Cloths 7 pack</t>
  </si>
  <si>
    <t>No other details discussed. Lifetime set to 3 years for now. CB3 said 1 year and 5-pack okay</t>
  </si>
  <si>
    <t>George Home Tea Towels 5pk</t>
  </si>
  <si>
    <t>No other details discussed. Ppens said: 1 bottle of Fairy Liquid replaced every 6 weeks. CB3 agreed with specs</t>
  </si>
  <si>
    <t>Fairy Original Washing Up Liquid Green with LiftAction 780ml</t>
  </si>
  <si>
    <t>Multi-surface spray</t>
  </si>
  <si>
    <t xml:space="preserve">CB3 added anti-bacterial spray. Replaced monthly. </t>
  </si>
  <si>
    <t>Disinfectant</t>
  </si>
  <si>
    <t>No other details discussed. Ppens said: Kitchen floor cleaner e.g. Flash. CB3 chaged lifetime to 6 months. CB4 changed to disinfectant e.g. Zoflora. 6 months</t>
  </si>
  <si>
    <t>Zoflora Linen Fresh Concentrated Disinfectant 500Ml</t>
  </si>
  <si>
    <t>No other details discussed. Ppens said: 1 litre bottle of bleach per week for kitchen and bathroom. CB3 said 2L would last 1 week, CB4 said 1 month for kitchen</t>
  </si>
  <si>
    <t>Tesco Thick Bleach Citrus 2 Litre Bigger Pack Better Value</t>
  </si>
  <si>
    <t>Descaler</t>
  </si>
  <si>
    <t>Oust All Purpose Descaler 3-pk</t>
  </si>
  <si>
    <t>No other details discussed. Ppens said: Sponge scourers, replace pack every 6 weeks. CB3 said 1 per week</t>
  </si>
  <si>
    <t xml:space="preserve">Scourers </t>
  </si>
  <si>
    <t>CB4 addded in line with Ppens: 1 per week</t>
  </si>
  <si>
    <t>Tesco Pan Scourers 5 pack</t>
  </si>
  <si>
    <t>Cling Film 350mm x 40m</t>
  </si>
  <si>
    <t>Cb4 added in line with Ppens: Foil 10m roll, replace every 3 months</t>
  </si>
  <si>
    <t>CB4 added in line with Ppens. Rubber gloves, replace 4 times per year</t>
  </si>
  <si>
    <t>Household maintenance</t>
  </si>
  <si>
    <t>Tool kit</t>
  </si>
  <si>
    <t>FG3 added 1 tool kit. Lifetime of 20 years in line with 2018 groups.</t>
  </si>
  <si>
    <t>Guild 40 Piece Stubby Hand Tool Kit</t>
  </si>
  <si>
    <t>Cheapest sewing kit from Argos, B+M, Wilko. 5 years</t>
  </si>
  <si>
    <t>Korbond Sewing Kit in Case. Includes: 1 pair of scissors 1 analogue tape measure 1 thimble 1 needle threader 2 needles 2 dressmaker pins 2 safety pins 3 pearl buttons 1m hemming web, a selection of sewing threads</t>
  </si>
  <si>
    <t>Shoe polish</t>
  </si>
  <si>
    <t xml:space="preserve">FG3 added supermarket shoe polish lasting 5 years </t>
  </si>
  <si>
    <t>Kiwi Black Shoe Polish 100ml</t>
  </si>
  <si>
    <t>Bathroom cabinet with mirror from Argos/Ikea/B&amp;Q/Homebase. Lasting 20 years.</t>
  </si>
  <si>
    <t>Aida White Mirrored Cabinet (W)370mm (H)465mm</t>
  </si>
  <si>
    <t>From Wilko/supermarket. Lasting 1 year.</t>
  </si>
  <si>
    <t>Bath sheets</t>
  </si>
  <si>
    <t xml:space="preserve">CB3 changed in line with SMP: 2 bath sheets needed, 'Fluffy' style, Dunelm, 3 years. CB3 changed lifetime to 5. </t>
  </si>
  <si>
    <t>Egyptian Cotton Bath Sheet (range of colours)</t>
  </si>
  <si>
    <t xml:space="preserve">CB3 changed in line with SMP: 2 bath towels needed, 'Fluffy' style, Dunelm, 3 years. changed lifetime to 5. </t>
  </si>
  <si>
    <t>Egyptian Cotton Hand Towel (range of colours)</t>
  </si>
  <si>
    <t xml:space="preserve">CB3 changed in line with SMP: 2 face cloths needed, 'Fluffy' style, Dunelm, 3 years. CB3 changed lifetime to 5. </t>
  </si>
  <si>
    <t>Face Cloth (range of colours)</t>
  </si>
  <si>
    <t>From Asda/Primark/Dunelm. Lasting 5 years.</t>
  </si>
  <si>
    <t>George Home Rubber Backed Bath Mat Charcoal</t>
  </si>
  <si>
    <t xml:space="preserve">Non-slip bathmat </t>
  </si>
  <si>
    <t>Non slip bathmat for inside the bath/shower, 2 years</t>
  </si>
  <si>
    <t>George Home Rubber Bath Mat</t>
  </si>
  <si>
    <t>Laundry basket</t>
  </si>
  <si>
    <t>For collecting dirty washing. From Wilko or Argos. Lasting 15 years. CB4 reduced lifetime to 10 years</t>
  </si>
  <si>
    <t>Argos Home Pop Up Laundry Bin - Dove Grey. 53 litre capacity</t>
  </si>
  <si>
    <t>2 washable Shower curtains, one to have up while one in the wash, lifetime? CB3 changed lifetime to 4 years.</t>
  </si>
  <si>
    <t>Magnifying mirror</t>
  </si>
  <si>
    <t>Magnifying mirror for applying make up etc. cheapest ok, Wilko/Argos/supermarket/JL/B+Q, 20 years. CB4 reduced lifetime to 5 years</t>
  </si>
  <si>
    <t>Danielle Creations Chrome Beauty Mirror</t>
  </si>
  <si>
    <t>From supermarket/Boots. No other info discussed. Lifetime set to 10 years for now. CB3 changed lifetime to 20 years.</t>
  </si>
  <si>
    <t>From Wilkos. Lasting 1 year.</t>
  </si>
  <si>
    <t>Wilko Window and Shower Squeegee</t>
  </si>
  <si>
    <t xml:space="preserve">From Wilko/supermarket. Replaced every 2 months. </t>
  </si>
  <si>
    <t>Tesco Active Toilet Gel Citrus 750ML</t>
  </si>
  <si>
    <t>No other details discussed. Ppens said: 1 litre bottle of bleach per week for kitchen and bathroom. CB3 said 2L would last 1 week, CB4 said 2 weeks for bathroom</t>
  </si>
  <si>
    <t>Shower spray</t>
  </si>
  <si>
    <t>Tesco Daily Shower Cleaning Spray 750ml</t>
  </si>
  <si>
    <t>Small pedal bin from Wilko. Lasting 20 years. CB4 specified plastic pedal bin, not metal. FG3 changed to metal pedal bin but reduced lifetime to 5 years</t>
  </si>
  <si>
    <t>Wilko Small White Pedal Bin</t>
  </si>
  <si>
    <t>Pedal bin liners. 1 bin liner used every week.</t>
  </si>
  <si>
    <t>Wilko Pedal Bin Liners 50 pack</t>
  </si>
  <si>
    <t xml:space="preserve">Double bed divan style with drawers for additional storage, good quality, JL 'everyday' range,  Dreams, Bensons for Beds, DFS, Ikea 20 years. CB3 changed in line with SMP: Double bed with 4 drawers, Ikea, Bensons for bed, Dreams, independent bed shop, Dunelm, 16 years. CB4 increased lifetime to 20 years in line with Ppens. </t>
  </si>
  <si>
    <t>Classic Divan Base - Double with 4 drawers</t>
  </si>
  <si>
    <t>Headboard</t>
  </si>
  <si>
    <t xml:space="preserve">Double bed divan style with drawers for additional storage, good quality, JL 'everyday' range,  Dreams, Bensons for Beds, DFS, Ikea 20 years. Cb3 changed lifetime to 16 years. CB4 increased lifetime to 20 years in line with Ppens. </t>
  </si>
  <si>
    <t>Classic Fairfield Headboard</t>
  </si>
  <si>
    <t xml:space="preserve">very good quality double mattress, pocket sprung - would want to test out in store, JL, Dreams, Bensons for Beds, 8 years </t>
  </si>
  <si>
    <t>Silentnight Heaton Pocket Sprung Mattress</t>
  </si>
  <si>
    <t>Double wardrobe, in matching set with drawers + bedside tables, fully assembled (or include cost for handy man to build flat pack version) Argos, Dunelm, Ikea, B+Q, 20 years</t>
  </si>
  <si>
    <t>Ashdown 2 Door 2 Drawer Mirror Wardrobe - White (fully assembled)</t>
  </si>
  <si>
    <t>Chest of drawers, in matching set with wardrobe + bedside tables, fully assembled (or include cost for handy man to build flat pack version) Argos, Dunelm, Ikea, B+Q, 20 years</t>
  </si>
  <si>
    <t>Ashdown 5 Drawer Chest - White (fully assembled)</t>
  </si>
  <si>
    <t>Bedside tables 2 needed, in matching set with drawers + wardrobe, fully assembled (or include cost for handy man to build flat pack version) Argos, Dunelm, Ikea, B+Q, 20 years</t>
  </si>
  <si>
    <t>Ashdown 3 Drawer Bedside Table - White (fully assembled)</t>
  </si>
  <si>
    <t>Clock radio</t>
  </si>
  <si>
    <t>CB4 added in line with Ppens: Digital radio. From Currys/Supermarket. Lifetime? CB4 said 20 years</t>
  </si>
  <si>
    <t>MAJORITY Histon II Portable DAB+/FM Radio - Black</t>
  </si>
  <si>
    <t>Mirror</t>
  </si>
  <si>
    <t>Full length mirror,  cheapest ok, Wilko, Argos, Dunelm, B+Q, 20 years.</t>
  </si>
  <si>
    <t>Essentials Full Length Mirror 122x32cm Black</t>
  </si>
  <si>
    <t>Bedside lamps 2 needed, approx. £10, Dunelm, Asda, Wilko, B+Q 20 years. CB3 changed lifetime to 10 years</t>
  </si>
  <si>
    <t>Wilko Cream Milan Table Lamp</t>
  </si>
  <si>
    <t>Chair</t>
  </si>
  <si>
    <t>CB3 added wooden chair from Dunelm/Dreams. Mid-mid quality, lasting 20 years</t>
  </si>
  <si>
    <t>Astrid Chair</t>
  </si>
  <si>
    <t xml:space="preserve">Summer and winter duvet (clips together e.g. Fogarty brand), Dunelm, 8 years. CB3 said cheaper combi duvet  from supermarket okay. </t>
  </si>
  <si>
    <t>All Seasons Combi Duvet. Comes with 4.5 and 10.5 tog duvets which clip together to make 15 tog.</t>
  </si>
  <si>
    <t>Duvet</t>
  </si>
  <si>
    <t xml:space="preserve">CB3 added a spare duvet for visitors. 12 tog. Mid-mid range from Dunelm or Wilko and does not need to be a recognisable brand. Lasting 10 years. CB4 changed in line with Ppens: 10.5 Tog. 16 years as only for occasional use. </t>
  </si>
  <si>
    <t>Wilko Washable Supersoft 10.5 Tog Double Duvet</t>
  </si>
  <si>
    <t>Good quality, 4 needed,one up the memory foam type range, approx. £10 per pillow or 1 up from the bottom, Dunelm, Soak +Sleep online, Supermarket, 8 years. CB3 changed lifetime to 4 years.</t>
  </si>
  <si>
    <t>Fogarty Duck Feather and Down Medium-Support Pillow Pair</t>
  </si>
  <si>
    <t xml:space="preserve">3 needed. Mid-range quality from the supermarket, 10 years. CB3 changed lifetime to 8 years. </t>
  </si>
  <si>
    <t>White Brushed Cotton Fitted Sheet</t>
  </si>
  <si>
    <t>Sheets, flat</t>
  </si>
  <si>
    <t>3 needed. Mid-range quality from the supermarket, 10 years. CB3 changed lifetime to 8 years.</t>
  </si>
  <si>
    <t>White Luxury 100% Cotton Flat Sheet</t>
  </si>
  <si>
    <t xml:space="preserve">3 sets needed, Mid-range quality from the supermarket, 10 years. CB3 changed lifetime to 8 years. </t>
  </si>
  <si>
    <t>George Home Just Wellness White Tencel Duvet Set</t>
  </si>
  <si>
    <t>8 needed in total, mid-range quality from the supermarket, 10 years. CB3 said 12 pillowcases needed in total. Enough to cover 3 changes of bedding (with four pillows). Also ensures plenty spare for guests. 6 pillowcases already included with bedding sets, so need 6 extra. Lasting 8 years.</t>
  </si>
  <si>
    <t xml:space="preserve">2 needed. No other info provided. Lifetime set to 10 years for now in line with other bedding. Cb3 changed lifetime to 4 years </t>
  </si>
  <si>
    <t>George Home Mattress Protector Double</t>
  </si>
  <si>
    <t>Pillow protectors</t>
  </si>
  <si>
    <t xml:space="preserve">8 pillow protectors needed, cheap ok, Dunelm, Supermarket. CB3 changed lifetime to 4 years. </t>
  </si>
  <si>
    <t>Pillow Protector Pair</t>
  </si>
  <si>
    <t xml:space="preserve">Electric blanket </t>
  </si>
  <si>
    <t>Cb4 added in line with Ppens: 10 years</t>
  </si>
  <si>
    <t>Silentnight Comfort Control Electric Blanket</t>
  </si>
  <si>
    <t>Carpet</t>
  </si>
  <si>
    <t>Carpetright</t>
  </si>
  <si>
    <t xml:space="preserve">Carpet plus underlay, approx £7.99 per m, need to be hard wearing for high traffic areas, easiest to have same carpet throughout, Carpetright, 10 years. CB3 £10 per square metre. A hard-wearing carpet would last 10 years. CB4 said £12 per m2 in line with Ppens. </t>
  </si>
  <si>
    <t xml:space="preserve">Trojan Carpet  (4 or 5 metres, 7 colours) £11.99m2, 4x2.5m = 10.4m2 (adds 10cm width) = £119.90. Plus Underlay:                       Patron Carpet Underlay 6.5mm 10m2=  £129.90. Plus gripper:  10m2 = £19.90. Plus fitting: £49.90. Plus door bar = £11.99 Plus delivery = 29.99. TOTAL = £361.58                             </t>
  </si>
  <si>
    <t>Living area+dining area</t>
  </si>
  <si>
    <t xml:space="preserve">Carpet plus underlay, approx £7.99 per m, need to be hard wearing for high traffic areas, easiest to have same carpet throughout, Carpetright, 10 years. CB3 £10 per square metre. A hard-we aring carpet would last 10 years. CB4 said 12 per m2 in line with Ppens. </t>
  </si>
  <si>
    <t xml:space="preserve">Trojan Carpet  (4 or 5 metres, 7 colours) £11.99m2, 4x4.5m=£215.82. Plus Underlay: Patron Carpet Underlay 6.5mm 18m2= £233.82. Plus gripper: 18m2 = £35.82. Plus fitting: £89.82. Plus door bar = £11.99. Plus delivery = 29.99. TOTAL: £617.26                                                               </t>
  </si>
  <si>
    <t xml:space="preserve">Carpet plus underlay, approx £7.99 per m, need to be hard wearing for high traffic areas, easiest to have same carpet throughout, Carpetright, 10 years. CB3 £10 per square metre. A hard-wearing carpet would last 10 years. CB4 said 12 per m2 in line with Ppens. </t>
  </si>
  <si>
    <t xml:space="preserve">Trojan Carpet  (4 or 5 metres, 7 colours) £11.99m2, 4x3.5m = £167.86. Plus Underlay:                       Patron Carpet Underlay 6.5mm 14m2 = £181.86. Plus gripper:  14m2 = £27.86. Plus fitting: £69.86. Plus door bar = £11.99 Plus delivery = 29.99. TOTAL = £                                                                                             </t>
  </si>
  <si>
    <t>Garden</t>
  </si>
  <si>
    <t>Table &amp; chairs</t>
  </si>
  <si>
    <t>Dunelm, online, B&amp;Q. Approx. £60. Plastic set okay. Lifetime set to 5 years in line with 2018 groups.</t>
  </si>
  <si>
    <t>Hawaii 3 Piece Bistro Set</t>
  </si>
  <si>
    <t>F: Personal goods and services</t>
  </si>
  <si>
    <t>Hairdryer</t>
  </si>
  <si>
    <t>Toilet roll</t>
  </si>
  <si>
    <t>Andrex Classic Clean Toilet Tissue 4 Rolls</t>
  </si>
  <si>
    <t>Simple Kind To Skin Refreshing Shower Gel 500Ml</t>
  </si>
  <si>
    <t>Aquafresh Fresh and Minty Toothpaste 75ml</t>
  </si>
  <si>
    <t>Colgate Extra Clean Medium Toothbrush X3 (weeks based on 3-pk)</t>
  </si>
  <si>
    <t>Mouthwash</t>
  </si>
  <si>
    <t>Listerine Spearmint Mouthwash 250Ml</t>
  </si>
  <si>
    <t>Comb</t>
  </si>
  <si>
    <t>Leo Bancroft Pocket Comb</t>
  </si>
  <si>
    <t>Palmolive Liquid Handwash Aquarium 300Ml</t>
  </si>
  <si>
    <t>Nivea Sun Protect and Moisture Sun Cream Spray SPF 50 200ml</t>
  </si>
  <si>
    <t>Tweezers</t>
  </si>
  <si>
    <t>Superdrug</t>
  </si>
  <si>
    <t>Perfume</t>
  </si>
  <si>
    <t>Olay Complete Care Day Cream Moisturiser Sensitive Spf 15 50Ml</t>
  </si>
  <si>
    <t>TKMaxx</t>
  </si>
  <si>
    <t>DENTS tan leather purse</t>
  </si>
  <si>
    <t>Personal effects</t>
  </si>
  <si>
    <t>Handbag (casual)</t>
  </si>
  <si>
    <t>Umbrella</t>
  </si>
  <si>
    <t>Jewellery</t>
  </si>
  <si>
    <t>Shower gel</t>
  </si>
  <si>
    <t>Razor</t>
  </si>
  <si>
    <t>Toothpaste</t>
  </si>
  <si>
    <t>Toothbrush</t>
  </si>
  <si>
    <t>Sun cream</t>
  </si>
  <si>
    <t>Deodorant</t>
  </si>
  <si>
    <t>Shampoo</t>
  </si>
  <si>
    <t>Liquid soap</t>
  </si>
  <si>
    <t>Personal care, female</t>
  </si>
  <si>
    <t>Hairdressing, female</t>
  </si>
  <si>
    <t>£30 for a cut and blow dry. Every 6 weeks. CB4 said £40 every 6 weeks</t>
  </si>
  <si>
    <t>Boots</t>
  </si>
  <si>
    <t xml:space="preserve">Hairdryer, Boots brand e.g Charles Worthington, 12 years. CB3 changed lifetime to 10 years. </t>
  </si>
  <si>
    <t xml:space="preserve">Remington Power Dry Hairdryer D3010 </t>
  </si>
  <si>
    <t xml:space="preserve">Hand soap dispenser. Replaced monthly. CB3 said 1 for kitchen and 1 for bathroom. </t>
  </si>
  <si>
    <t>1 toilet roll per week. CB3 changed to 2 rolls per week.</t>
  </si>
  <si>
    <t>Tena Lady</t>
  </si>
  <si>
    <t xml:space="preserve">Tena Lady two per day </t>
  </si>
  <si>
    <t>Tena Lady Discreet Mini 20S</t>
  </si>
  <si>
    <t>1 large (approx. 450ml) bottle every month. From supermarket/Superdrug/Boots</t>
  </si>
  <si>
    <t xml:space="preserve">CB4 added pack of disposable razors. 4-pk lasting 6 months. </t>
  </si>
  <si>
    <t xml:space="preserve">Gillette Simply Venus 2 Blade Disposable Razors 4 Pack. </t>
  </si>
  <si>
    <t>Shaving foam</t>
  </si>
  <si>
    <t>CB4 added shaving foam for women in line with men. Lifetime not discussed. 2 months for now in line with SMP. FG3 said 6 months</t>
  </si>
  <si>
    <t>Tesco Essentials Shaving Foam 250Ml</t>
  </si>
  <si>
    <t>Personal care, male</t>
  </si>
  <si>
    <t>Mouthwash, replace monthly</t>
  </si>
  <si>
    <t>Interdental brushes</t>
  </si>
  <si>
    <t>Interdental care brushes, one per day</t>
  </si>
  <si>
    <t>Pro Care Soft Interdental Brush 30pk</t>
  </si>
  <si>
    <t>1 tube of toothpaste every month. From supermarket/Superdrug/Boots.</t>
  </si>
  <si>
    <t>Replaced every 3 months. From supermarket/Superdrug/Boots</t>
  </si>
  <si>
    <t>Denture tablets</t>
  </si>
  <si>
    <t>Denture tablet cleaner (presume would use one per day?). CB3 confirmed 1 used per day.</t>
  </si>
  <si>
    <t>Pro-Formula Denture Tablets 30 Pack</t>
  </si>
  <si>
    <t>Tooth mug</t>
  </si>
  <si>
    <t xml:space="preserve">Tumbler to hold dentures, lifetime? CB3 said tumbler would last 2 years. </t>
  </si>
  <si>
    <t>George Home Charcoal Bathroom Tumbler</t>
  </si>
  <si>
    <t>Replaced monthly. From supermarket/Superdrug/Boots</t>
  </si>
  <si>
    <r>
      <rPr>
        <sz val="8"/>
        <rFont val="Arial"/>
        <family val="2"/>
      </rPr>
      <t>Sure Women Invisible Aqua Anti-perspirant Deodorant Aerosol 150m</t>
    </r>
    <r>
      <rPr>
        <sz val="8"/>
        <color theme="0" tint="-0.34998626667073579"/>
        <rFont val="Arial"/>
        <family val="2"/>
      </rPr>
      <t>l</t>
    </r>
  </si>
  <si>
    <t>Talcum powder</t>
  </si>
  <si>
    <t>Replace every 3 months</t>
  </si>
  <si>
    <t>Johnsons baby Powder 200g</t>
  </si>
  <si>
    <t>Sponge</t>
  </si>
  <si>
    <t>One sponge would last 1 month</t>
  </si>
  <si>
    <t>Tesco Essentials Soft Sponges 2 Pack</t>
  </si>
  <si>
    <t>Dove Intensive Repair Shampoo 400Ml</t>
  </si>
  <si>
    <t>Conditioner</t>
  </si>
  <si>
    <t>Dove Intensive Repair Conditioner 350Ml</t>
  </si>
  <si>
    <t>Hair products</t>
  </si>
  <si>
    <t>CB4 added £10 every 2 months as a budget to cover hair products such as hair spray, hair oils etc.</t>
  </si>
  <si>
    <t>Hand lotion</t>
  </si>
  <si>
    <t>Nivea Hand Cream Protective Care Beeswax 75Ml</t>
  </si>
  <si>
    <t>Body lotion</t>
  </si>
  <si>
    <t>1 large (approx. 450ml) bottle. Replaced monthly. From supermarket/Superdrug/Boots</t>
  </si>
  <si>
    <t>Tesco Extracts Cocoa Butter Body Lotion 400Ml</t>
  </si>
  <si>
    <t>Face cream</t>
  </si>
  <si>
    <t>Such as Olay. Replaced monthly. From supermarket/Superdrug/Boots</t>
  </si>
  <si>
    <t>Lasting 1 year. From supermarket/Superdrug/Boots</t>
  </si>
  <si>
    <t>Brush</t>
  </si>
  <si>
    <t xml:space="preserve"> Mid-range hair brush. From supermarket/Superdrug/Boots. Lasting 5 years.</t>
  </si>
  <si>
    <t>Leo Bancroft Vented Brush Gold Label</t>
  </si>
  <si>
    <t>Cb4 added pair of tweezers, 10 years</t>
  </si>
  <si>
    <t>Included in manicure set</t>
  </si>
  <si>
    <t>Back brush</t>
  </si>
  <si>
    <t>From Wilko. Lasting 5 years. CB3 changed lifetime to 3 years.</t>
  </si>
  <si>
    <t>Superdrug White Plastic Brush</t>
  </si>
  <si>
    <t>Manicure set</t>
  </si>
  <si>
    <t>Nail clipper set, including scissors, 20 years. CB3 changed lifetime to 10 years.</t>
  </si>
  <si>
    <t>Manicure set. Includes a slant tweezer, nail file, nail clipper, scissors and cuticle pusher for nice neat nails.</t>
  </si>
  <si>
    <t>Cosmetics</t>
  </si>
  <si>
    <t xml:space="preserve">£20 every 6 months for cosmetics. CB3 changed to £10 every 2 months. </t>
  </si>
  <si>
    <t xml:space="preserve">1 bottle of approx. £20. From Superdrug/Boots. Lasting 1 year. Cb3 changed to £50 budget per year. </t>
  </si>
  <si>
    <t>Watch</t>
  </si>
  <si>
    <t>1 watch from a jewellers/Watch Shop/Argos. Approx. £20. Lasting 10 years.</t>
  </si>
  <si>
    <t>Casio Ladies Chrome Coloured Stainless Steel Bracelet Watch</t>
  </si>
  <si>
    <t>Suitcases</t>
  </si>
  <si>
    <t xml:space="preserve">1 large suitcase and 1 small suitcase on wheels. From supermarket or Argos. Cheapest okay. Lifetime not discussed. Set to 10 years for now. CB4 said 20 years </t>
  </si>
  <si>
    <t>Go Explore 2 Piece Soft 2 Wheeled Luggage Set - Blue. Two sizes: H67, W20, D43.5cm (55L) and H45.5, W16, D34cm (23L)</t>
  </si>
  <si>
    <t>Backpack</t>
  </si>
  <si>
    <t>CB4 added one backpack. Sports Direct/Argos. Cheapest okay, 4 years.</t>
  </si>
  <si>
    <t>Rockport backpack (range of colours)</t>
  </si>
  <si>
    <t>Belts</t>
  </si>
  <si>
    <t>Marks &amp; Spencer</t>
  </si>
  <si>
    <t>CB4 added 2 leather belts.E.g. Primark. 10 years</t>
  </si>
  <si>
    <t>2 Pack Leather Hip Belt. 1 black, 1 brown</t>
  </si>
  <si>
    <t>Purse</t>
  </si>
  <si>
    <t>CB4 added a leather purse, e.g. TK Maxx. Lasting 2 years</t>
  </si>
  <si>
    <t>Handbag  (smart)</t>
  </si>
  <si>
    <t xml:space="preserve">1 evening bag. Approx. £30 from supermarket/M&amp;S. Lasting 5 years. </t>
  </si>
  <si>
    <t>Leather Cross-Body Handbag (range of colours)</t>
  </si>
  <si>
    <t xml:space="preserve">1 daily casual bag. Approx. £30 from supermarket/M&amp;S. Lasting 2 years. </t>
  </si>
  <si>
    <t>Faux Leather Cross Body Bag (range of colours)</t>
  </si>
  <si>
    <t>Foldaway umbrella. Lasting 2 years.</t>
  </si>
  <si>
    <t>Wilko Crook Umbrella Assorted</t>
  </si>
  <si>
    <t>£10 a year for jewellery</t>
  </si>
  <si>
    <t>G: Transport</t>
  </si>
  <si>
    <t>Passenger transport by road</t>
  </si>
  <si>
    <t>Taxi fares</t>
  </si>
  <si>
    <t>Rail fares</t>
  </si>
  <si>
    <t>G</t>
  </si>
  <si>
    <t xml:space="preserve">£10 per week </t>
  </si>
  <si>
    <t>Passenger transport by railway</t>
  </si>
  <si>
    <t>CB4 said £100 per year per person</t>
  </si>
  <si>
    <t>Bus Pass</t>
  </si>
  <si>
    <t>Free bus pass</t>
  </si>
  <si>
    <t>Rail card</t>
  </si>
  <si>
    <t>National Rail</t>
  </si>
  <si>
    <t>Senior Railcard. £70 for 3 years (all rail fares a third off)</t>
  </si>
  <si>
    <t>Senior Rail Card (3 years)</t>
  </si>
  <si>
    <t>H: Social and cultural participation</t>
  </si>
  <si>
    <t>H1</t>
  </si>
  <si>
    <t>Leisure goods</t>
  </si>
  <si>
    <t>TV</t>
  </si>
  <si>
    <t>Laptop</t>
  </si>
  <si>
    <t>ACER 314 Touch 14" Chromebook - MediaTek MT8183C, 128 GB eMMC, Silver</t>
  </si>
  <si>
    <t>Gifts - Xmas</t>
  </si>
  <si>
    <t xml:space="preserve">Gifts for others </t>
  </si>
  <si>
    <t>Gifts - Birthdays</t>
  </si>
  <si>
    <t>Christmas decorations</t>
  </si>
  <si>
    <t>Stationery</t>
  </si>
  <si>
    <t>Charities</t>
  </si>
  <si>
    <t>Donations</t>
  </si>
  <si>
    <t>JVC LT-43CA790 Android TV 43" Smart Full HD LED TV with Google Assistant</t>
  </si>
  <si>
    <t>Smart speaker</t>
  </si>
  <si>
    <t>CB4 added radio, £25. No lifetime discussed. Also mentioned smart speaker as alternative. FG3 confirmed smart speaker for additional functionality and a source of company. 10 years</t>
  </si>
  <si>
    <t>Amazon Echo Dot Smart Speaker with Alexa - Black</t>
  </si>
  <si>
    <t>14" laptop. Approx. £300. Lasting 10 years. CB3 changed in line with SMP: Approx. 14" (A4 size) laptop. Currys, 5 years</t>
  </si>
  <si>
    <t>Gifts - Other</t>
  </si>
  <si>
    <t xml:space="preserve">£30 per year for flowers/card/gifts for other occasions. For: sympathy card, wedding, get well soon card, new baby. CB4 changed budget to £50 per person </t>
  </si>
  <si>
    <t>£50 a year for charitable donations</t>
  </si>
  <si>
    <t>Other recreational items</t>
  </si>
  <si>
    <t>CB4 added in line with SMP: £50 for an artificial 4ft Xmas tree and decorations (baubles, lights etc.), replaced every 20 years. CB4 reduced lifetime to 10 years</t>
  </si>
  <si>
    <t>Newspapers, books and stationery</t>
  </si>
  <si>
    <t>budget for stationery: £15 per year per household</t>
  </si>
  <si>
    <t>TV licence</t>
  </si>
  <si>
    <t>BBC</t>
  </si>
  <si>
    <t>costs £159/year. If paying monthly you have to pay first year within six months and then can move to monthly payments for subsequent years</t>
  </si>
  <si>
    <t>H3</t>
  </si>
  <si>
    <t>Internet</t>
  </si>
  <si>
    <t xml:space="preserve">Included with line rental (see Household Services): Via Moneysupermarket. TalkTalk up to 67Mb avg speed, unlimited downloads, 18 month contract, no setup cost. £282 total cost per year (also offers £75 cashback voucher Tesco/Amazon/M&amp;S after 90 days). </t>
  </si>
  <si>
    <t>Entertainment and recreation</t>
  </si>
  <si>
    <t>TV subscription</t>
  </si>
  <si>
    <t>Netflix</t>
  </si>
  <si>
    <t>£6.99 per month for basic Netflix account. Includes Netflix for 1 screen at a time and downloads for one phone or tablet device. Unlimited films, TV programmes and mobile games.</t>
  </si>
  <si>
    <t>Activities</t>
  </si>
  <si>
    <t>H6</t>
  </si>
  <si>
    <t>UK Holidays</t>
  </si>
  <si>
    <t>Holiday- spending money</t>
  </si>
  <si>
    <t>Leisure services</t>
  </si>
  <si>
    <t>Passport</t>
  </si>
  <si>
    <t>Broadband</t>
  </si>
  <si>
    <t xml:space="preserve">broadband supplied via landline </t>
  </si>
  <si>
    <t>TV Subscription</t>
  </si>
  <si>
    <t>£20 per week for doing something 2 or 3 times per week depending on cost. Some activities could be free. E.g. theatre, cinema, swimming, gym, free exercise, craft/arts group, gardening, dance, pilates, choir, Tai Chi</t>
  </si>
  <si>
    <t>Holiday</t>
  </si>
  <si>
    <t>Alfa Travel</t>
  </si>
  <si>
    <t xml:space="preserve">1-week caravan holiday by the sea (UK). Share cost with a friend. Off-peak. Approx. £500. Or 1-week coach trip in the UK. </t>
  </si>
  <si>
    <t>Alfa Travel 7 day trip - The Isle of Wight - The Shanklin Hotel, half board £406 plus £40  single person supplment (=£446) departing Leicester 19th May 2022</t>
  </si>
  <si>
    <t>£100 spending money for one week, in addtion to weekly food budget</t>
  </si>
  <si>
    <t>Post Office</t>
  </si>
  <si>
    <t xml:space="preserve">Costed as paper application from the post office </t>
  </si>
  <si>
    <t>Photographs</t>
  </si>
  <si>
    <t>Tesco Max Spielmann</t>
  </si>
  <si>
    <t>Simple Value Corded Desk Telephone - Single</t>
  </si>
  <si>
    <t>Cheapest plug in phone for use in emergencies, would last 10 years. Supermarket/Argos/Currys</t>
  </si>
  <si>
    <t>Landline telephone</t>
  </si>
  <si>
    <t>broadband internet but no call package needed as would only use handset in emergencies as use mobile phone for regular calls</t>
  </si>
  <si>
    <t>Cheapest contract smartphone, would include free handset that would be upgraded every 2 years. Contract would include some free minutes, texts and data, would need to upgrade to 2GB data and 500 minutes per month if not included in contract.</t>
  </si>
  <si>
    <t>Cheapest contract smartphone.</t>
  </si>
  <si>
    <t>3 books x 12 1st class stamps = £30.60 plus £40 for deliveries per year. CB4 changed to postage budget: £10 per month per household as budget to cover all postage needs.</t>
  </si>
  <si>
    <t>Opticians- check up</t>
  </si>
  <si>
    <t xml:space="preserve">Eye test every 2 years. </t>
  </si>
  <si>
    <t xml:space="preserve">Free NHS eye tests for people aged 60 and over. </t>
  </si>
  <si>
    <t>Entry-level varifocal glasses every 2 years. CB4 changed in line with Ppens: £200 for varifocal glasses every 2 years</t>
  </si>
  <si>
    <t>Specsavers - varifocals start from £39 (if selecting frames £69-£169 plus varifocal lenses from £49 then get second pair for free so total £118). A budget of £200 would give the Ppens more choice.</t>
  </si>
  <si>
    <t>Two check ups per year with NHS dentist</t>
  </si>
  <si>
    <t>Treatment to cover cost of dentures. Every 5 years.</t>
  </si>
  <si>
    <t>Band 3 (£282.80). includes bridges, crowns, dentures, inlays/onlays, non-cosmetic veneers.</t>
  </si>
  <si>
    <t>Podiatry</t>
  </si>
  <si>
    <t xml:space="preserve">Budget of £25 every 2 months. CB4 changed to £30 every 2 months </t>
  </si>
  <si>
    <t>From Boots/Wilko/supermarket/Superdrug. 1 pack of 16 per month. Fg3 changed to 1 pack, 8 weeks</t>
  </si>
  <si>
    <t>Cough mixture</t>
  </si>
  <si>
    <t xml:space="preserve">1 bottle replaced yearly. </t>
  </si>
  <si>
    <t>Tesco Health+ Chesty Cough Relief 300Ml</t>
  </si>
  <si>
    <t>1 box a year.</t>
  </si>
  <si>
    <t>Eye wash</t>
  </si>
  <si>
    <t>Optrex eye wash to bathe eyes, 6 months</t>
  </si>
  <si>
    <t>Optrex Multi Action Eye Wash 100Ml</t>
  </si>
  <si>
    <t>Eye drops</t>
  </si>
  <si>
    <t xml:space="preserve">Optrex eye drops for dry eyes. Replaced monthly. </t>
  </si>
  <si>
    <t>Optrex Refreshing Eye Drops 10ml</t>
  </si>
  <si>
    <t>Savlon, replace yearly.</t>
  </si>
  <si>
    <t xml:space="preserve">Replaced every 2 years. From Boots/Wilko. CB3 changed lifetime to 5 years. </t>
  </si>
  <si>
    <t>Replaced every 2 years. From Boots/Wilko</t>
  </si>
  <si>
    <t>Thermometer</t>
  </si>
  <si>
    <t>Digital thermometer. From Boots/Wilko/supermarket/Superdrug. Lasting 10 years.</t>
  </si>
  <si>
    <t>Superdrug Flexi Tip Digital Thermometer</t>
  </si>
  <si>
    <t>A1</t>
  </si>
  <si>
    <t>Tea bags</t>
  </si>
  <si>
    <t>28 tea bags + 7 for visitors</t>
  </si>
  <si>
    <t>Tesco 80 Teabags 250G</t>
  </si>
  <si>
    <t>Coffee, instant</t>
  </si>
  <si>
    <t>200g</t>
  </si>
  <si>
    <t>7 tsp (35 g)</t>
  </si>
  <si>
    <t>Tesco Gold Instant Coffee 200G</t>
  </si>
  <si>
    <t>Milk, semi skimmed</t>
  </si>
  <si>
    <t>2.272l</t>
  </si>
  <si>
    <t>1803 ml + 210ml for visitors = 2013ml</t>
  </si>
  <si>
    <t>Tesco British Semi Skimmed Milk 2.272L 4 Pints</t>
  </si>
  <si>
    <t>Squash, no sugar, concentrate</t>
  </si>
  <si>
    <t>1.5l</t>
  </si>
  <si>
    <t>385 ml (7 x 55ml)</t>
  </si>
  <si>
    <t>Orange Juice, made from concentrate</t>
  </si>
  <si>
    <t>1l</t>
  </si>
  <si>
    <t>1120 ml</t>
  </si>
  <si>
    <t>Tesco Pure Orange Juice Smooth 1 Litre</t>
  </si>
  <si>
    <t>Wholemeal bread roll</t>
  </si>
  <si>
    <t>Warburtons</t>
  </si>
  <si>
    <t>1 x 55 g roll</t>
  </si>
  <si>
    <t>Warburtons Wholemeal Rolls 6 Pack (56g each) freeze remainder</t>
  </si>
  <si>
    <t>Other high fibre breakfast cereals</t>
  </si>
  <si>
    <t>Weetabix</t>
  </si>
  <si>
    <t>4 x 20 g (80 g)</t>
  </si>
  <si>
    <t>Weetabix Cereal 12 Pack</t>
  </si>
  <si>
    <t>Bread, Best of both, wholemeal</t>
  </si>
  <si>
    <t>8 slices (296 g)</t>
  </si>
  <si>
    <t>Tesco Wholemeal Medium Bread 800g, Freeze remainder 18 slices plus crusts</t>
  </si>
  <si>
    <t>Porridge Oats, uncooked</t>
  </si>
  <si>
    <t>270g</t>
  </si>
  <si>
    <t>54 g (220 g / 4.1 cooking adjustment)</t>
  </si>
  <si>
    <t>Tesco Original Scottish Oats 270G</t>
  </si>
  <si>
    <t>Yogurt, low fat, fruity</t>
  </si>
  <si>
    <t>Creamfields</t>
  </si>
  <si>
    <t>3 x 125 g pots</t>
  </si>
  <si>
    <t>Creamfields Berry Medley Low Fat Yogurt 6X125g</t>
  </si>
  <si>
    <t>Eggs, raw</t>
  </si>
  <si>
    <t>6 large eggs</t>
  </si>
  <si>
    <t>Tesco Large Free Range Eggs 12 Pack</t>
  </si>
  <si>
    <t>Sausage, pork, raw weight</t>
  </si>
  <si>
    <t>1 thin (32 g)</t>
  </si>
  <si>
    <t>Tesco 12 Pork Chipolatas Chipolatas 375G freeze remainder</t>
  </si>
  <si>
    <t>Baked Beans</t>
  </si>
  <si>
    <t>220g</t>
  </si>
  <si>
    <t>144 g</t>
  </si>
  <si>
    <t>Tesco Baked Beans In Tomato Sauce 220G</t>
  </si>
  <si>
    <t>Bacon, back, raw weight</t>
  </si>
  <si>
    <t>1.5 rashers  (53 g)</t>
  </si>
  <si>
    <t>Olive oil</t>
  </si>
  <si>
    <t>7 Tbsp (105 ml) 91 g</t>
  </si>
  <si>
    <t>Tesco Olive Oil 1L</t>
  </si>
  <si>
    <t>Butter, light, reduced fat</t>
  </si>
  <si>
    <t>500g</t>
  </si>
  <si>
    <t>203 g</t>
  </si>
  <si>
    <t>Tesco Reduced Fat Butterpak Spreadable 500G</t>
  </si>
  <si>
    <t>Marmite</t>
  </si>
  <si>
    <t>125g</t>
  </si>
  <si>
    <t>16 g</t>
  </si>
  <si>
    <t>Marmite Yeast Extract 125G</t>
  </si>
  <si>
    <t>Marmalade</t>
  </si>
  <si>
    <t>454g</t>
  </si>
  <si>
    <t>30 g</t>
  </si>
  <si>
    <t>Tesco Fine Cut Orange Marmalade 454G, lifetime adjustedto 6 weeks in line with guidance to consume within 6 weeks of opening</t>
  </si>
  <si>
    <t>Plain digestives</t>
  </si>
  <si>
    <t>4 x 14 g (56 g) + 10 for visitors</t>
  </si>
  <si>
    <t>Tesco Digestive Biscuits 400G</t>
  </si>
  <si>
    <t>Satsumas,  weight with peel</t>
  </si>
  <si>
    <t>Jaffa</t>
  </si>
  <si>
    <t>600g</t>
  </si>
  <si>
    <t>4 satsumas (340 g) 240 g/0.71 edible</t>
  </si>
  <si>
    <t>Banana, weight with peel</t>
  </si>
  <si>
    <t>1 medium banana (158 g)</t>
  </si>
  <si>
    <t xml:space="preserve">Loose Bananas 14p each </t>
  </si>
  <si>
    <t>Pears, weight with skin</t>
  </si>
  <si>
    <t>1 x 160 g (pears)</t>
  </si>
  <si>
    <t>Pears Conference Class 1 Loose 2.70/kg/51p each</t>
  </si>
  <si>
    <t>Apples, whole weight</t>
  </si>
  <si>
    <t>3 medium apples (522 g)</t>
  </si>
  <si>
    <t>Granny Smith Apples Class 1 Loose, £2.70/kg/43p each</t>
  </si>
  <si>
    <t>Cooking apple, whole weight</t>
  </si>
  <si>
    <t>2 medium apples (340 g)</t>
  </si>
  <si>
    <t>Tesco Bramley Cooking Apples Loose £2/kg/50p each</t>
  </si>
  <si>
    <t>Chicken pieces, roasted/ deli weight</t>
  </si>
  <si>
    <t>180g</t>
  </si>
  <si>
    <t>90 g</t>
  </si>
  <si>
    <t>Tesco Roast Sliced Chicken Breast 180G</t>
  </si>
  <si>
    <t>Chicken Breast, no skin, raw weight</t>
  </si>
  <si>
    <t>300g</t>
  </si>
  <si>
    <t>280 g</t>
  </si>
  <si>
    <t>Tesco 2 British Chicken Breast Fillets 300G</t>
  </si>
  <si>
    <t>Chicken thigh, weight with skin and bones, raw weight</t>
  </si>
  <si>
    <t>1kg</t>
  </si>
  <si>
    <t>150 g</t>
  </si>
  <si>
    <t xml:space="preserve">Tesco Chicken Thighs 1Kg (frozen) 5 servings </t>
  </si>
  <si>
    <t>Lamb mince, raw weight</t>
  </si>
  <si>
    <t>125 g</t>
  </si>
  <si>
    <t>Tesco British Lamb Mince 20% Fat 500G, freeze remainder</t>
  </si>
  <si>
    <t>Tuna, canned in spring water</t>
  </si>
  <si>
    <t>2 x 180 g (2x 130g drained weight)</t>
  </si>
  <si>
    <t>Tesco Tuna Chunks In Brine 145G (110g drained weight), Any 4 for £2.83 Clubcard Price, 79p each standard price</t>
  </si>
  <si>
    <t>Sardines, canned in spring water</t>
  </si>
  <si>
    <t>Tesco Finest</t>
  </si>
  <si>
    <t>105g</t>
  </si>
  <si>
    <t>1 x 120 g tin</t>
  </si>
  <si>
    <t xml:space="preserve">Tesco Finest Sardines In Water 105G </t>
  </si>
  <si>
    <t>Beef mince, raw weight</t>
  </si>
  <si>
    <t>Tesco Beef Lean Steak Mince 500G 5% Fat, freeze remainder</t>
  </si>
  <si>
    <t>Pork loin chops, lean and fat, weight with bone</t>
  </si>
  <si>
    <t>147 g</t>
  </si>
  <si>
    <t>Tesco 2 Pork Loin Chops 450G, freeze other for next week</t>
  </si>
  <si>
    <t>Cod, frozen (pack of 2 x 130g )</t>
  </si>
  <si>
    <t>360g</t>
  </si>
  <si>
    <t xml:space="preserve">1 x 130 g Fillet (130 g) </t>
  </si>
  <si>
    <t>Tesco Cod Fillets 360G</t>
  </si>
  <si>
    <t>Pizza, Pollo, chicken and pepper</t>
  </si>
  <si>
    <t>303g</t>
  </si>
  <si>
    <t>1 x 280 g pizza</t>
  </si>
  <si>
    <t>Tesco Stone Baked Bbq Chicken Pizza 303G £2 Clubcard price, £3.50 standard price</t>
  </si>
  <si>
    <t>Cheese, cheddar, reduced fat, 50% less</t>
  </si>
  <si>
    <t>Tesco 50% Reduced Fat Mature Cheese 220G</t>
  </si>
  <si>
    <t>Onions, whole raw weight</t>
  </si>
  <si>
    <t>363g</t>
  </si>
  <si>
    <t>363g (330 g/0.91 edible)</t>
  </si>
  <si>
    <t>Loose Brown Onions, 85p/kg,</t>
  </si>
  <si>
    <t>Red onions, whole raw weight</t>
  </si>
  <si>
    <t>67g</t>
  </si>
  <si>
    <t>67g (59 g /0.91 edible)</t>
  </si>
  <si>
    <t>Loose Red Onions Class 2 £1/kg</t>
  </si>
  <si>
    <t>Carrots, frozen</t>
  </si>
  <si>
    <t>360 g</t>
  </si>
  <si>
    <t>Tesco Sliced Carrots Peeled &amp; Cut 1Kg (frozen)</t>
  </si>
  <si>
    <t>Celery, whole raw weight</t>
  </si>
  <si>
    <t>250g</t>
  </si>
  <si>
    <t>104g (95 g/0.91 edible)</t>
  </si>
  <si>
    <t>Tesco Celery Sticks 250G 50p Clubcard Price, 75p standard price</t>
  </si>
  <si>
    <t>Leeks, whole raw weight</t>
  </si>
  <si>
    <t>700g</t>
  </si>
  <si>
    <t>330g  (188 g /0.57 g)</t>
  </si>
  <si>
    <t>Tesco Sliced Leeks 700G (frozen)</t>
  </si>
  <si>
    <t>Mixed lettuce leaves</t>
  </si>
  <si>
    <t>Florette</t>
  </si>
  <si>
    <t>150g</t>
  </si>
  <si>
    <t>Florette Mixed Salad 150G</t>
  </si>
  <si>
    <t>Cucumber, with peel, whole weight</t>
  </si>
  <si>
    <t>1/4 cucumber 274 g (266 g/ 0.97 edible)</t>
  </si>
  <si>
    <t>Tesco Cucumber Whole Each</t>
  </si>
  <si>
    <t>Tomatoes, standard, raw</t>
  </si>
  <si>
    <t>6 x 85 g small (510 g)</t>
  </si>
  <si>
    <t>Tesco Salad Tomatoes 6 Pack net weight 360g</t>
  </si>
  <si>
    <t>Potatoes, old, whole weight</t>
  </si>
  <si>
    <t>2.5kg</t>
  </si>
  <si>
    <t>765 g (470 g /0.80 edible = 588 g) + (109 g /0.8 = 136 g /0.77 = 177 g)</t>
  </si>
  <si>
    <t>Tesco All Rounder Potatoes 2.5Kg</t>
  </si>
  <si>
    <t>Baked Potato, large</t>
  </si>
  <si>
    <t>243g (165 g 0.68 weight change)</t>
  </si>
  <si>
    <t>Potatoes Baking Loose 83p/kg 300g smallest weight sold</t>
  </si>
  <si>
    <t>Spring onions, whole weight</t>
  </si>
  <si>
    <t>100g</t>
  </si>
  <si>
    <t>72g (50 g/0.69)</t>
  </si>
  <si>
    <t>Tesco Bunched Spring Onions 100G</t>
  </si>
  <si>
    <t>Courgettes, whole raw weight</t>
  </si>
  <si>
    <t>91g (80 g /0.88)</t>
  </si>
  <si>
    <t>Courgettes Loose Class 1 £2/kg 200g (smallest weight sold)</t>
  </si>
  <si>
    <t>Aubergine, whole raw weight</t>
  </si>
  <si>
    <t>260g (250 g/0.96 edible)</t>
  </si>
  <si>
    <t>Tesco Aubergine Each 29p Clubcard price, 69p standard price</t>
  </si>
  <si>
    <t>Red pepper, whole raw weight</t>
  </si>
  <si>
    <t>2 peppers (380 g) 320 g/0.84 edible</t>
  </si>
  <si>
    <t>Green Pepper each Class 1</t>
  </si>
  <si>
    <t>Green pepper, whole raw weight</t>
  </si>
  <si>
    <t>2 x peppers (380 g) 320 g/0.84 edible</t>
  </si>
  <si>
    <t>Red Pepper each Class 2</t>
  </si>
  <si>
    <t>French beans, frozen</t>
  </si>
  <si>
    <t>900g</t>
  </si>
  <si>
    <t>60 g</t>
  </si>
  <si>
    <t>Tesco Fine Whole Green Beans 900G</t>
  </si>
  <si>
    <t>Parsley, dried</t>
  </si>
  <si>
    <t>11g</t>
  </si>
  <si>
    <t>1 g</t>
  </si>
  <si>
    <t>Tesco Dried Parsley 11G Jar</t>
  </si>
  <si>
    <t>Peas, frozen</t>
  </si>
  <si>
    <t>80 g</t>
  </si>
  <si>
    <t>Tesco Garden Peas 1kg</t>
  </si>
  <si>
    <t>Broccoli, frozen</t>
  </si>
  <si>
    <t>170 g</t>
  </si>
  <si>
    <t>Mushrooms, frozen</t>
  </si>
  <si>
    <t>70 g</t>
  </si>
  <si>
    <t>Tesco Sliced Mushrooms 500G (frozen)</t>
  </si>
  <si>
    <t>Cauliflower, frozen</t>
  </si>
  <si>
    <t>69 g</t>
  </si>
  <si>
    <t>Tesco Cauliflower Florets 900G (frozen)</t>
  </si>
  <si>
    <t>Brussels sprouts, frozen</t>
  </si>
  <si>
    <t>84 g</t>
  </si>
  <si>
    <t>Tesco Frozen Button Brussels Sprouts 1Kg</t>
  </si>
  <si>
    <t>Sweetcorn, frozen</t>
  </si>
  <si>
    <t>Tesco Supersweet Sweetcorn 1Kg</t>
  </si>
  <si>
    <t>Penne Pasta, uncooked weight</t>
  </si>
  <si>
    <t xml:space="preserve">87g 180 g / 2.03 </t>
  </si>
  <si>
    <t>Tesco Penne Pasta Quills 500G</t>
  </si>
  <si>
    <t>Spaghetti pasta, uncooked weight</t>
  </si>
  <si>
    <t xml:space="preserve">52g 130 g /2.48 </t>
  </si>
  <si>
    <t>Tesco Short Spaghetti Pasta 500G</t>
  </si>
  <si>
    <t>Mayonnaise, light, low fat</t>
  </si>
  <si>
    <t>450ml</t>
  </si>
  <si>
    <t>99 g</t>
  </si>
  <si>
    <t>Tesco Light Mayonnaise 450Ml</t>
  </si>
  <si>
    <t>Garlic, whole weight</t>
  </si>
  <si>
    <t>4 clove (15 g) (12 g / 0.79 edible)</t>
  </si>
  <si>
    <t>Tesco Garlic Each, avg 12 cloves per bulb</t>
  </si>
  <si>
    <t>Chicken stock cube</t>
  </si>
  <si>
    <t>1 cube (6 g)</t>
  </si>
  <si>
    <t>Tesco 10 Chicken Stock Cubes 100G</t>
  </si>
  <si>
    <t>Lamb stock cube</t>
  </si>
  <si>
    <t>Knorr</t>
  </si>
  <si>
    <t>Knorr Lamb Stock Cubes 8 X 10G</t>
  </si>
  <si>
    <t>Chinese 5 spices</t>
  </si>
  <si>
    <t>34g</t>
  </si>
  <si>
    <t>0.5 g</t>
  </si>
  <si>
    <t>Tesco Chinese 5 Spice 34G</t>
  </si>
  <si>
    <t>All spice, ground</t>
  </si>
  <si>
    <t>33g</t>
  </si>
  <si>
    <t>Tesco Ground All Spice 33G</t>
  </si>
  <si>
    <t>Bay leaves</t>
  </si>
  <si>
    <t>3g</t>
  </si>
  <si>
    <t>1.4 g (2 leaves)</t>
  </si>
  <si>
    <t>Tesco Bay Leaves 3g (pack says 15 servings)</t>
  </si>
  <si>
    <t>Mixed herbs, dried</t>
  </si>
  <si>
    <t>18g</t>
  </si>
  <si>
    <t>1.5 g</t>
  </si>
  <si>
    <t>Tesco Mixed Herbs 18G </t>
  </si>
  <si>
    <t>Black pepper</t>
  </si>
  <si>
    <t>50g</t>
  </si>
  <si>
    <t>0.1 g</t>
  </si>
  <si>
    <t>Tesco Ground Black Pepper 50G, lifetime adjusted to 1 year</t>
  </si>
  <si>
    <t>Tomato puree</t>
  </si>
  <si>
    <t>hped tbsp 18 g</t>
  </si>
  <si>
    <t>Tesco tomato Puree Tube 200g, lifetime adjusted to one month in line with guidance to use within a month of opening</t>
  </si>
  <si>
    <t>Worcestershire  sauce</t>
  </si>
  <si>
    <t>150ml</t>
  </si>
  <si>
    <t>1 tsp 6 g</t>
  </si>
  <si>
    <t>Tesco Worcester Sauce 150Ml, lifetime adjusted to 3 months in line with guidance</t>
  </si>
  <si>
    <t>Pasta tomato sauce, light, from jar</t>
  </si>
  <si>
    <t>Tesco Smooth Tomato Sauce 200G</t>
  </si>
  <si>
    <t>Tinned tomatoes</t>
  </si>
  <si>
    <t>400g</t>
  </si>
  <si>
    <t>299 g</t>
  </si>
  <si>
    <t>Tesco Italian Chopped Tomatoes 400G</t>
  </si>
  <si>
    <t>Bolognese sauce, from jar</t>
  </si>
  <si>
    <t>Tesco Bolognese Pasta Sauce Jar 500g</t>
  </si>
  <si>
    <t>Curry sauce, from 440g jar</t>
  </si>
  <si>
    <t>Hearty Food Co.</t>
  </si>
  <si>
    <t>440g</t>
  </si>
  <si>
    <t>1/2 jar, (220 g)</t>
  </si>
  <si>
    <t>Hearty Food Co. Curry Sauce 440G</t>
  </si>
  <si>
    <t>Gravy granules</t>
  </si>
  <si>
    <t>10 g</t>
  </si>
  <si>
    <t>Tesco Gravy Granules For Chicken 200G</t>
  </si>
  <si>
    <t>Rice, white, long grain, uncooked weight</t>
  </si>
  <si>
    <t>59 g (160 g/2.72)</t>
  </si>
  <si>
    <t>Tesco Easy Cook Long Grain Rice 1Kg</t>
  </si>
  <si>
    <t>Custard powder</t>
  </si>
  <si>
    <t>Birds</t>
  </si>
  <si>
    <t>350g</t>
  </si>
  <si>
    <t>7 g</t>
  </si>
  <si>
    <t>Birds Traditional Custard Powder 350g</t>
  </si>
  <si>
    <t>Shortcrust pastry</t>
  </si>
  <si>
    <t>450g</t>
  </si>
  <si>
    <t>50 g</t>
  </si>
  <si>
    <t>Tesco Shortcrust Pastry Mix 450G</t>
  </si>
  <si>
    <t>Sugar, caster</t>
  </si>
  <si>
    <t>Trade Aid UK</t>
  </si>
  <si>
    <t>52 g</t>
  </si>
  <si>
    <t>Trade Aid Uk Pure Cane Caster Sugar 1Kg</t>
  </si>
  <si>
    <t>Wholemeal flour</t>
  </si>
  <si>
    <t>Allinson</t>
  </si>
  <si>
    <t>Allinson Wholemeal Plain Flour 1Kg</t>
  </si>
  <si>
    <t>White flour, plain</t>
  </si>
  <si>
    <t>1.5kg</t>
  </si>
  <si>
    <t>Tesco Plain Flour 1.5Kg</t>
  </si>
  <si>
    <t>Brown sugar</t>
  </si>
  <si>
    <t>Tesco Light Soft Brown Sugar 500G</t>
  </si>
  <si>
    <t>Baking powder</t>
  </si>
  <si>
    <t>Stockwell &amp; Co.</t>
  </si>
  <si>
    <t>2 g</t>
  </si>
  <si>
    <t>Stockwell &amp; Co. Baking Powder 150G</t>
  </si>
  <si>
    <t>Mixed fruit, dried</t>
  </si>
  <si>
    <t>Tesco Dried Mixed Fruit 500G</t>
  </si>
  <si>
    <t>Jelly, sugar free</t>
  </si>
  <si>
    <t>Hartleys</t>
  </si>
  <si>
    <t>2 x 115 g pots</t>
  </si>
  <si>
    <t>Hartleys Multi No Added Sugar Strawberry Jelly 6 X 115G</t>
  </si>
  <si>
    <t>Food delivery</t>
  </si>
  <si>
    <t>£35 per year for food delivery</t>
  </si>
  <si>
    <t>Xmas food &amp; drink</t>
  </si>
  <si>
    <t>£50 per household</t>
  </si>
  <si>
    <t>A2</t>
  </si>
  <si>
    <t>Eating out</t>
  </si>
  <si>
    <t>£25 per person per month for 2 course meal and a drink</t>
  </si>
  <si>
    <t>£25 per person per month less cost of wine drinking out (250ml) £1.13, less cost of equivalent meal eaten in: chicken £1.03, olive oil 5p, curry sauce 23p, rice 7p, red pepper 24p, green pepper 24p, aubergine 29p + jelly 38p = £2.53, £25 - £1.13 - £2.53 = £21.34</t>
  </si>
  <si>
    <t>Takeaway</t>
  </si>
  <si>
    <t>£15 per person per fortnight for singles</t>
  </si>
  <si>
    <t>£15 per single per fortnight less cost of equivalent meal pizza £2, lettuce 16p, tomato 18p, cucumber 4p, spring onion 4p + green pepper 12p = £2.54, 15 - 2.54 = £12.46</t>
  </si>
  <si>
    <t>Tesco Broccoli &amp; Cauliflower Floret Mix 900G (frozen)</t>
  </si>
  <si>
    <t xml:space="preserve">Tesco Quadruple Strength Lemon Squash No Added Sugar 1.5L (100 servings) </t>
  </si>
  <si>
    <t xml:space="preserve">B: Alcohol </t>
  </si>
  <si>
    <t>B1A</t>
  </si>
  <si>
    <t>Wine, White</t>
  </si>
  <si>
    <t>Isla Negra</t>
  </si>
  <si>
    <t>75cl</t>
  </si>
  <si>
    <t>Isla Negra Sauvingnon Blanc 75Cl (11.5%) £5</t>
  </si>
  <si>
    <t>B1B</t>
  </si>
  <si>
    <t>Wine</t>
  </si>
  <si>
    <t>Greene King (Heathley Park - Pub &amp; Grill)</t>
  </si>
  <si>
    <t>250ml glass of wine £4.89 (EL PICO SAUVIGNON BLANC, CHILE 12%) priced at Greene King pub</t>
  </si>
  <si>
    <t xml:space="preserve">32" TV for living room from John Lewis/Currys/Tesco. Lasting 10 years. CB4 increased in line with PPens: 43" smart TV due to the potential of worsening eye sight. </t>
  </si>
  <si>
    <t>Based on 12 presents at £15 each plus £10 on cards and £3 on gift wrap. CB4 changed in line with PPens: 12 gifts of £20, plus £20 for all gift wrap and cards. Total =  £260</t>
  </si>
  <si>
    <t xml:space="preserve">Based on 12 presents at £10 each plus £2.50 for a roll of wrapping paper and 12X cards worth £2 each. CB4 changed in line with PPens: Based on 12 presents at £20, including cards and gift wrap. </t>
  </si>
  <si>
    <t>£79 to cover annual fee for Amazon Prime Video. Or Netflix is £72 per year. CB4 confirmed Netflix version okay in line with PPens</t>
  </si>
  <si>
    <t>12 pairs needed. From M&amp;S. Lasting 2 years. FG3 reduced lifetime to 6 months. Lifetime adjusted to 1 year</t>
  </si>
  <si>
    <t>4 bras from M&amp;S. Lasting 2 years. FG3 reduced lifetime to 6 months. Lifetime adjusted to 1 year</t>
  </si>
  <si>
    <t>6 pairs of socks lasting 3 years. From the supermarket. FG3 reduced lifetime to 6 months. Lifetme adjusted to 1 year</t>
  </si>
  <si>
    <t>4 pairs of woolly tights from the supermarket. Lasting 3 years. Lifetime adjusted to 1 year.</t>
  </si>
  <si>
    <t>4 pairs of tights from the supermarket. Lasting 3 years. Adjusted to 10 pairs lasting 1 year</t>
  </si>
  <si>
    <t>Food</t>
  </si>
  <si>
    <t>Alcohol</t>
  </si>
  <si>
    <t>Tobacco</t>
  </si>
  <si>
    <t>Clothing</t>
  </si>
  <si>
    <t>Household insurances</t>
  </si>
  <si>
    <t>Other housing costs</t>
  </si>
  <si>
    <t>Household goods</t>
  </si>
  <si>
    <t>Household services</t>
  </si>
  <si>
    <t>Personal goods and services</t>
  </si>
  <si>
    <t>Motoring</t>
  </si>
  <si>
    <t>Other travel costs</t>
  </si>
  <si>
    <t>Tesco Unsmoked Thick Cut Back Bacon Rasher 300G (avg. 8 rashers), freeze once opened</t>
  </si>
  <si>
    <t>Jaffa Sweet Easy Peeler 600G (avg 7 per pack)</t>
  </si>
  <si>
    <t>Single female pensioner</t>
  </si>
  <si>
    <r>
      <t>£5 for 750ml red wine minus 58ml a week (250ml once</t>
    </r>
    <r>
      <rPr>
        <b/>
        <sz val="8"/>
        <rFont val="Arial"/>
        <family val="2"/>
      </rPr>
      <t xml:space="preserve"> per month</t>
    </r>
    <r>
      <rPr>
        <sz val="8"/>
        <rFont val="Arial"/>
        <family val="2"/>
      </rPr>
      <t xml:space="preserve"> 250/4.3 = 58ml, equivalent to 7.7% of bottle so 39p) = £5-39p=£4.61</t>
    </r>
  </si>
  <si>
    <t>250ml glass of wine priced in pub/restaurant with meal out once a month</t>
  </si>
  <si>
    <t>Sheer Elegance White Slot Top Single Voile Panel. W 150cm x D 228cm. 2 priced to fit width of window</t>
  </si>
  <si>
    <t>set of 6 cork-backed coasters. Lasting 5 years</t>
  </si>
  <si>
    <t>Paper napkins. CB3 said 100 lasting 1 year.</t>
  </si>
  <si>
    <t>Included in set above</t>
  </si>
  <si>
    <t xml:space="preserve">Pack of 3. Lasting 30 years. CB4 changed lifetime to 15 years. </t>
  </si>
  <si>
    <t>CB4 added descaler solution in line with PPens, 6 months (18 months for 30pack)</t>
  </si>
  <si>
    <t>CB4 added clingfilm. 30m lasting 6 months.</t>
  </si>
  <si>
    <t>Very</t>
  </si>
  <si>
    <t>Motorola Moto E20. 32GB device memory. Warranty 24 months. 24-month contract. Handset included in cost of contract below</t>
  </si>
  <si>
    <t xml:space="preserve"> From supermarket/Superdrug/Boots. Lasting 10 years. CB3 changed lifetime to 5 years for SFP.</t>
  </si>
  <si>
    <t>A: Food and non-alcoholic beverages</t>
  </si>
  <si>
    <t xml:space="preserve">Photo booth £6 </t>
  </si>
  <si>
    <t>Photo booth £6 (costed at Max Spielmann at Tesco)</t>
  </si>
  <si>
    <t>A food and non-alcoholic beverages</t>
  </si>
  <si>
    <t>A1 food</t>
  </si>
  <si>
    <t>A2 catering</t>
  </si>
  <si>
    <t>B alcohol and tobacco</t>
  </si>
  <si>
    <t>B1 alcohol</t>
  </si>
  <si>
    <t>B1A alcohol at home</t>
  </si>
  <si>
    <t>B1B alcohol away from home</t>
  </si>
  <si>
    <t>C clothing and footwear</t>
  </si>
  <si>
    <t>D housing costs</t>
  </si>
  <si>
    <t>D1 rent</t>
  </si>
  <si>
    <t>D2 mortgage interest</t>
  </si>
  <si>
    <t>D3 water</t>
  </si>
  <si>
    <t>D4 Council tax</t>
  </si>
  <si>
    <t>D5 household insurances</t>
  </si>
  <si>
    <t>D6 fuel</t>
  </si>
  <si>
    <t>D7 other housing costs</t>
  </si>
  <si>
    <t>E household goods and services</t>
  </si>
  <si>
    <t>E1 household goods</t>
  </si>
  <si>
    <t>E2 household services</t>
  </si>
  <si>
    <t>E2A communication</t>
  </si>
  <si>
    <t>E2A1 postage</t>
  </si>
  <si>
    <t>E2A2 telephone</t>
  </si>
  <si>
    <t>E2B childcare</t>
  </si>
  <si>
    <t>E2C other household services</t>
  </si>
  <si>
    <t>F personal goods and services (inc health)</t>
  </si>
  <si>
    <t>G transport</t>
  </si>
  <si>
    <t>G1 motoring expenditure</t>
  </si>
  <si>
    <t>G2 Fares and other travel costs</t>
  </si>
  <si>
    <t>H social and cultural participation</t>
  </si>
  <si>
    <t>H1 leisure goods</t>
  </si>
  <si>
    <t>H2 pets</t>
  </si>
  <si>
    <t>H3 entertainment and recreation</t>
  </si>
  <si>
    <t>H4 TV licence and rental</t>
  </si>
  <si>
    <t>H5 foreign holidays</t>
  </si>
  <si>
    <t>H6 UK holidays</t>
  </si>
  <si>
    <t>Social and cultural participation</t>
  </si>
  <si>
    <t>Total</t>
  </si>
  <si>
    <t>C footwear</t>
  </si>
  <si>
    <t>1 pair of trainers. Lasting 2 years. From supermarket.</t>
  </si>
  <si>
    <t>Wilko 1 pack Bayonet B22/BC LED 810 Lumens Dimmable Daylight GLS Light Bulb</t>
  </si>
  <si>
    <t>Passport needed for identification purposes. £93 for paper application</t>
  </si>
  <si>
    <t>MIS 2023 REBASE</t>
  </si>
  <si>
    <t>MINIMUM 2023</t>
  </si>
  <si>
    <t>Minimum 2023 Single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</si>
</sst>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8" formatCode="&quot;£&quot;#,##0.00;[Red]\-&quot;£&quot;#,##0.00"/>
    <numFmt numFmtId="164" formatCode="&quot;£&quot;#,##0.00"/>
    <numFmt numFmtId="165" formatCode="0.000000"/>
    <numFmt numFmtId="166" formatCode="0.0"/>
  </numFmts>
  <fonts count="29" x14ac:knownFonts="1">
    <font>
      <sz val="11"/>
      <color theme="1"/>
      <name val="Calibri"/>
      <family val="2"/>
      <scheme val="minor"/>
    </font>
    <font>
      <b/>
      <sz val="8"/>
      <name val="Arial"/>
      <family val="2"/>
    </font>
    <font>
      <sz val="8"/>
      <name val="Arial"/>
      <family val="2"/>
    </font>
    <font>
      <sz val="8"/>
      <color theme="1"/>
      <name val="Arial"/>
      <family val="2"/>
    </font>
    <font>
      <sz val="10"/>
      <name val="Arial"/>
      <family val="2"/>
    </font>
    <font>
      <sz val="8"/>
      <color theme="0" tint="-0.34998626667073579"/>
      <name val="Arial"/>
      <family val="2"/>
    </font>
    <font>
      <sz val="8"/>
      <color rgb="FF000000"/>
      <name val="Arial"/>
      <family val="2"/>
    </font>
    <font>
      <sz val="8"/>
      <color rgb="FF1A1A1A"/>
      <name val="Arial"/>
      <family val="2"/>
    </font>
    <font>
      <b/>
      <sz val="8"/>
      <color theme="1"/>
      <name val="Arial"/>
      <family val="2"/>
    </font>
    <font>
      <sz val="10"/>
      <name val="Arial"/>
      <family val="2"/>
    </font>
    <font>
      <b/>
      <sz val="8"/>
      <color theme="0" tint="-0.34998626667073579"/>
      <name val="Arial"/>
      <family val="2"/>
    </font>
    <font>
      <sz val="10"/>
      <color theme="0" tint="-0.34998626667073579"/>
      <name val="Arial"/>
      <family val="2"/>
    </font>
    <font>
      <sz val="10"/>
      <color theme="1"/>
      <name val="Arial"/>
      <family val="2"/>
    </font>
    <font>
      <sz val="8"/>
      <color rgb="FF262626"/>
      <name val="Arial"/>
      <family val="2"/>
    </font>
    <font>
      <u/>
      <sz val="11"/>
      <color theme="10"/>
      <name val="Calibri"/>
      <family val="2"/>
      <scheme val="minor"/>
    </font>
    <font>
      <sz val="8"/>
      <color rgb="FF191919"/>
      <name val="Arial"/>
      <family val="2"/>
    </font>
    <font>
      <u/>
      <sz val="10"/>
      <color theme="10"/>
      <name val="Arial"/>
      <family val="2"/>
    </font>
    <font>
      <b/>
      <sz val="11"/>
      <color theme="1"/>
      <name val="Calibri"/>
      <family val="2"/>
      <scheme val="minor"/>
    </font>
    <font>
      <sz val="8"/>
      <color indexed="58"/>
      <name val="Arial"/>
      <family val="2"/>
    </font>
    <font>
      <sz val="8"/>
      <color indexed="8"/>
      <name val="Arial"/>
      <family val="2"/>
    </font>
    <font>
      <sz val="11"/>
      <color rgb="FFFF0000"/>
      <name val="Calibri"/>
      <family val="2"/>
      <scheme val="minor"/>
    </font>
    <font>
      <sz val="8"/>
      <color rgb="FFFF0000"/>
      <name val="Arial"/>
      <family val="2"/>
    </font>
    <font>
      <b/>
      <sz val="8"/>
      <color rgb="FFFF0000"/>
      <name val="Arial"/>
      <family val="2"/>
    </font>
    <font>
      <b/>
      <sz val="8"/>
      <color rgb="FFEF2111"/>
      <name val="Arial"/>
      <family val="2"/>
    </font>
    <font>
      <sz val="8"/>
      <color rgb="FFEF2111"/>
      <name val="Arial"/>
      <family val="2"/>
    </font>
    <font>
      <b/>
      <sz val="11"/>
      <color rgb="FFFF0000"/>
      <name val="Calibri"/>
      <family val="2"/>
      <scheme val="minor"/>
    </font>
    <font>
      <b/>
      <sz val="12"/>
      <color theme="1"/>
      <name val="Arial"/>
      <family val="2"/>
    </font>
    <font>
      <b/>
      <sz val="11"/>
      <color theme="1"/>
      <name val="Arial"/>
      <family val="2"/>
    </font>
    <font>
      <sz val="11"/>
      <color theme="1"/>
      <name val="Arial"/>
      <family val="2"/>
    </font>
  </fonts>
  <fills count="2">
    <fill>
      <patternFill patternType="none"/>
    </fill>
    <fill>
      <patternFill patternType="gray125"/>
    </fill>
  </fills>
  <borders count="1">
    <border>
      <left/>
      <right/>
      <top/>
      <bottom/>
      <diagonal/>
    </border>
  </borders>
  <cellStyleXfs count="9">
    <xf numFmtId="0" fontId="0" fillId="0" borderId="0"/>
    <xf numFmtId="0" fontId="4" fillId="0" borderId="0"/>
    <xf numFmtId="0" fontId="4" fillId="0" borderId="0"/>
    <xf numFmtId="0" fontId="4" fillId="0" borderId="0"/>
    <xf numFmtId="0" fontId="9" fillId="0" borderId="0"/>
    <xf numFmtId="0" fontId="12" fillId="0" borderId="0"/>
    <xf numFmtId="0" fontId="14" fillId="0" borderId="0" applyNumberFormat="0" applyFill="0" applyBorder="0" applyAlignment="0" applyProtection="0"/>
    <xf numFmtId="0" fontId="16" fillId="0" borderId="0" applyNumberFormat="0" applyFill="0" applyBorder="0" applyAlignment="0" applyProtection="0"/>
    <xf numFmtId="0" fontId="4" fillId="0" borderId="0"/>
  </cellStyleXfs>
  <cellXfs count="173">
    <xf numFmtId="0" fontId="0" fillId="0" borderId="0" xfId="0"/>
    <xf numFmtId="0" fontId="2" fillId="0" borderId="0" xfId="1" applyFont="1" applyAlignment="1">
      <alignment horizontal="left" vertical="top" wrapText="1"/>
    </xf>
    <xf numFmtId="0" fontId="3" fillId="0" borderId="0" xfId="0" applyFont="1" applyAlignment="1">
      <alignment vertical="top" wrapText="1"/>
    </xf>
    <xf numFmtId="0" fontId="5" fillId="0" borderId="0" xfId="1" applyFont="1" applyAlignment="1">
      <alignment horizontal="left" vertical="top" wrapText="1"/>
    </xf>
    <xf numFmtId="0" fontId="3" fillId="0" borderId="0" xfId="0" applyFont="1" applyAlignment="1">
      <alignment horizontal="left" vertical="top" wrapText="1"/>
    </xf>
    <xf numFmtId="0" fontId="3" fillId="0" borderId="0" xfId="0" applyFont="1" applyAlignment="1">
      <alignment vertical="top"/>
    </xf>
    <xf numFmtId="0" fontId="1" fillId="0" borderId="0" xfId="0" applyFont="1" applyAlignment="1">
      <alignment vertical="top"/>
    </xf>
    <xf numFmtId="0" fontId="2" fillId="0" borderId="0" xfId="0" applyFont="1" applyAlignment="1">
      <alignment vertical="top"/>
    </xf>
    <xf numFmtId="0" fontId="2" fillId="0" borderId="0" xfId="0" applyFont="1" applyAlignment="1">
      <alignment vertical="top" wrapText="1"/>
    </xf>
    <xf numFmtId="0" fontId="1" fillId="0" borderId="0" xfId="1" applyFont="1" applyAlignment="1">
      <alignment vertical="top"/>
    </xf>
    <xf numFmtId="0" fontId="1" fillId="0" borderId="0" xfId="1" applyFont="1" applyAlignment="1">
      <alignment vertical="top" wrapText="1"/>
    </xf>
    <xf numFmtId="0" fontId="1" fillId="0" borderId="0" xfId="0" applyFont="1" applyAlignment="1">
      <alignment horizontal="left" vertical="top" wrapText="1"/>
    </xf>
    <xf numFmtId="0" fontId="1" fillId="0" borderId="0" xfId="1" applyFont="1" applyAlignment="1">
      <alignment horizontal="left" vertical="top" wrapText="1"/>
    </xf>
    <xf numFmtId="2" fontId="1" fillId="0" borderId="0" xfId="1" applyNumberFormat="1" applyFont="1" applyAlignment="1">
      <alignment horizontal="left" vertical="top" wrapText="1"/>
    </xf>
    <xf numFmtId="0" fontId="2" fillId="0" borderId="0" xfId="0" applyFont="1" applyAlignment="1">
      <alignment horizontal="left" vertical="top" wrapText="1"/>
    </xf>
    <xf numFmtId="2" fontId="2" fillId="0" borderId="0" xfId="1" applyNumberFormat="1" applyFont="1" applyAlignment="1">
      <alignment horizontal="right" vertical="top" wrapText="1"/>
    </xf>
    <xf numFmtId="2" fontId="2" fillId="0" borderId="0" xfId="0" applyNumberFormat="1" applyFont="1" applyAlignment="1">
      <alignment horizontal="right" vertical="top"/>
    </xf>
    <xf numFmtId="2" fontId="2" fillId="0" borderId="0" xfId="1" applyNumberFormat="1" applyFont="1" applyAlignment="1">
      <alignment horizontal="left" vertical="top" wrapText="1"/>
    </xf>
    <xf numFmtId="0" fontId="2" fillId="0" borderId="0" xfId="0" applyFont="1" applyAlignment="1">
      <alignment horizontal="left" vertical="top"/>
    </xf>
    <xf numFmtId="0" fontId="2" fillId="0" borderId="0" xfId="1" applyFont="1" applyAlignment="1">
      <alignment vertical="top" wrapText="1"/>
    </xf>
    <xf numFmtId="2" fontId="2" fillId="0" borderId="0" xfId="1" applyNumberFormat="1" applyFont="1" applyAlignment="1">
      <alignment vertical="top" wrapText="1"/>
    </xf>
    <xf numFmtId="166" fontId="2" fillId="0" borderId="0" xfId="1" applyNumberFormat="1" applyFont="1" applyAlignment="1">
      <alignment vertical="top" wrapText="1"/>
    </xf>
    <xf numFmtId="0" fontId="2" fillId="0" borderId="0" xfId="2" applyFont="1" applyAlignment="1">
      <alignment vertical="top" wrapText="1"/>
    </xf>
    <xf numFmtId="0" fontId="1" fillId="0" borderId="0" xfId="1" applyFont="1" applyAlignment="1">
      <alignment horizontal="left" vertical="top"/>
    </xf>
    <xf numFmtId="0" fontId="2" fillId="0" borderId="0" xfId="1" applyFont="1" applyAlignment="1">
      <alignment horizontal="left" vertical="top"/>
    </xf>
    <xf numFmtId="2" fontId="1" fillId="0" borderId="0" xfId="1" applyNumberFormat="1" applyFont="1" applyAlignment="1">
      <alignment vertical="top" wrapText="1"/>
    </xf>
    <xf numFmtId="0" fontId="2" fillId="0" borderId="0" xfId="2" applyFont="1" applyAlignment="1">
      <alignment horizontal="left" vertical="top" wrapText="1"/>
    </xf>
    <xf numFmtId="2" fontId="2" fillId="0" borderId="0" xfId="2" applyNumberFormat="1" applyFont="1" applyAlignment="1">
      <alignment horizontal="left" vertical="top" wrapText="1"/>
    </xf>
    <xf numFmtId="0" fontId="1" fillId="0" borderId="0" xfId="0" applyFont="1" applyAlignment="1">
      <alignment horizontal="left" vertical="top"/>
    </xf>
    <xf numFmtId="0" fontId="2" fillId="0" borderId="0" xfId="0" applyFont="1" applyAlignment="1">
      <alignment horizontal="right" vertical="top"/>
    </xf>
    <xf numFmtId="0" fontId="5" fillId="0" borderId="0" xfId="1" applyFont="1" applyAlignment="1">
      <alignment vertical="top" wrapText="1"/>
    </xf>
    <xf numFmtId="0" fontId="5" fillId="0" borderId="0" xfId="0" applyFont="1" applyAlignment="1">
      <alignment horizontal="left" vertical="top"/>
    </xf>
    <xf numFmtId="0" fontId="13" fillId="0" borderId="0" xfId="0" applyFont="1" applyAlignment="1">
      <alignment vertical="top" wrapText="1"/>
    </xf>
    <xf numFmtId="0" fontId="5" fillId="0" borderId="0" xfId="0" applyFont="1" applyAlignment="1">
      <alignment horizontal="left" vertical="top" wrapText="1"/>
    </xf>
    <xf numFmtId="0" fontId="2" fillId="0" borderId="0" xfId="0" applyFont="1" applyAlignment="1">
      <alignment horizontal="left" vertical="top" wrapText="1" indent="1"/>
    </xf>
    <xf numFmtId="0" fontId="13" fillId="0" borderId="0" xfId="0" applyFont="1" applyAlignment="1">
      <alignment horizontal="left" vertical="top" wrapText="1"/>
    </xf>
    <xf numFmtId="2" fontId="2" fillId="0" borderId="0" xfId="2" applyNumberFormat="1" applyFont="1" applyAlignment="1">
      <alignment vertical="top" wrapText="1"/>
    </xf>
    <xf numFmtId="0" fontId="2" fillId="0" borderId="0" xfId="1" quotePrefix="1" applyFont="1" applyAlignment="1">
      <alignment vertical="top" wrapText="1"/>
    </xf>
    <xf numFmtId="0" fontId="3" fillId="0" borderId="0" xfId="0" applyFont="1" applyAlignment="1">
      <alignment horizontal="left" vertical="top"/>
    </xf>
    <xf numFmtId="0" fontId="6" fillId="0" borderId="0" xfId="0" applyFont="1" applyAlignment="1">
      <alignment vertical="top" wrapText="1"/>
    </xf>
    <xf numFmtId="0" fontId="2" fillId="0" borderId="0" xfId="1" applyFont="1" applyAlignment="1">
      <alignment vertical="top"/>
    </xf>
    <xf numFmtId="0" fontId="5" fillId="0" borderId="0" xfId="2" applyFont="1" applyAlignment="1">
      <alignment vertical="top" wrapText="1"/>
    </xf>
    <xf numFmtId="0" fontId="2" fillId="0" borderId="0" xfId="0" applyFont="1" applyAlignment="1">
      <alignment horizontal="left" vertical="center" wrapText="1" indent="1"/>
    </xf>
    <xf numFmtId="0" fontId="15" fillId="0" borderId="0" xfId="0" applyFont="1" applyAlignment="1">
      <alignment horizontal="left" vertical="top" wrapText="1"/>
    </xf>
    <xf numFmtId="0" fontId="4" fillId="0" borderId="0" xfId="0" applyFont="1"/>
    <xf numFmtId="0" fontId="0" fillId="0" borderId="0" xfId="0" applyAlignment="1">
      <alignment wrapText="1"/>
    </xf>
    <xf numFmtId="0" fontId="2" fillId="0" borderId="0" xfId="0" applyFont="1"/>
    <xf numFmtId="0" fontId="2" fillId="0" borderId="0" xfId="0" applyFont="1" applyAlignment="1">
      <alignment horizontal="center" vertical="top"/>
    </xf>
    <xf numFmtId="0" fontId="6" fillId="0" borderId="0" xfId="0" applyFont="1" applyAlignment="1">
      <alignment horizontal="left" vertical="top"/>
    </xf>
    <xf numFmtId="0" fontId="2" fillId="0" borderId="0" xfId="0" applyFont="1" applyAlignment="1">
      <alignment vertical="center" wrapText="1"/>
    </xf>
    <xf numFmtId="0" fontId="6" fillId="0" borderId="0" xfId="0" applyFont="1" applyAlignment="1">
      <alignment horizontal="left" vertical="top" wrapText="1"/>
    </xf>
    <xf numFmtId="0" fontId="6" fillId="0" borderId="0" xfId="0" applyFont="1" applyAlignment="1">
      <alignment vertical="top"/>
    </xf>
    <xf numFmtId="2" fontId="2" fillId="0" borderId="0" xfId="0" applyNumberFormat="1" applyFont="1" applyAlignment="1">
      <alignment horizontal="left" vertical="top" wrapText="1"/>
    </xf>
    <xf numFmtId="0" fontId="5" fillId="0" borderId="0" xfId="0" applyFont="1" applyAlignment="1">
      <alignment vertical="top" wrapText="1"/>
    </xf>
    <xf numFmtId="0" fontId="5" fillId="0" borderId="0" xfId="0" applyFont="1" applyAlignment="1">
      <alignment vertical="top"/>
    </xf>
    <xf numFmtId="6" fontId="2" fillId="0" borderId="0" xfId="0" applyNumberFormat="1" applyFont="1" applyAlignment="1">
      <alignment horizontal="left" vertical="top" wrapText="1"/>
    </xf>
    <xf numFmtId="0" fontId="6" fillId="0" borderId="0" xfId="0" applyFont="1" applyAlignment="1">
      <alignment vertical="center" wrapText="1"/>
    </xf>
    <xf numFmtId="0" fontId="2" fillId="0" borderId="0" xfId="0" applyFont="1" applyAlignment="1">
      <alignment wrapText="1"/>
    </xf>
    <xf numFmtId="0" fontId="1" fillId="0" borderId="0" xfId="2" applyFont="1" applyAlignment="1">
      <alignment horizontal="left" vertical="top" wrapText="1"/>
    </xf>
    <xf numFmtId="0" fontId="0" fillId="0" borderId="0" xfId="0" applyAlignment="1">
      <alignment horizontal="right"/>
    </xf>
    <xf numFmtId="0" fontId="1" fillId="0" borderId="0" xfId="0" applyFont="1" applyAlignment="1">
      <alignment horizontal="right" vertical="top"/>
    </xf>
    <xf numFmtId="0" fontId="1" fillId="0" borderId="0" xfId="1" applyFont="1" applyAlignment="1">
      <alignment horizontal="right" vertical="top"/>
    </xf>
    <xf numFmtId="0" fontId="2" fillId="0" borderId="0" xfId="7" applyFont="1" applyFill="1" applyAlignment="1">
      <alignment horizontal="left" vertical="top" wrapText="1"/>
    </xf>
    <xf numFmtId="8" fontId="2" fillId="0" borderId="0" xfId="0" applyNumberFormat="1" applyFont="1" applyAlignment="1">
      <alignment horizontal="left" vertical="top" wrapText="1"/>
    </xf>
    <xf numFmtId="2" fontId="2" fillId="0" borderId="0" xfId="1" applyNumberFormat="1" applyFont="1" applyAlignment="1">
      <alignment vertical="top"/>
    </xf>
    <xf numFmtId="0" fontId="5" fillId="0" borderId="0" xfId="2" applyFont="1" applyAlignment="1">
      <alignment horizontal="left" vertical="top" wrapText="1"/>
    </xf>
    <xf numFmtId="17" fontId="10" fillId="0" borderId="0" xfId="1" applyNumberFormat="1" applyFont="1" applyAlignment="1">
      <alignment horizontal="left" vertical="top" wrapText="1"/>
    </xf>
    <xf numFmtId="0" fontId="8" fillId="0" borderId="0" xfId="0" applyFont="1" applyAlignment="1">
      <alignment vertical="top"/>
    </xf>
    <xf numFmtId="0" fontId="8" fillId="0" borderId="0" xfId="0" applyFont="1" applyAlignment="1">
      <alignment vertical="top" wrapText="1"/>
    </xf>
    <xf numFmtId="0" fontId="1" fillId="0" borderId="0" xfId="3" applyFont="1" applyAlignment="1">
      <alignment vertical="top" wrapText="1"/>
    </xf>
    <xf numFmtId="0" fontId="2" fillId="0" borderId="0" xfId="5" applyFont="1" applyAlignment="1">
      <alignment vertical="top"/>
    </xf>
    <xf numFmtId="0" fontId="2" fillId="0" borderId="0" xfId="5" applyFont="1" applyAlignment="1">
      <alignment horizontal="left" vertical="top"/>
    </xf>
    <xf numFmtId="0" fontId="3" fillId="0" borderId="0" xfId="5" applyFont="1" applyAlignment="1">
      <alignment vertical="top" wrapText="1"/>
    </xf>
    <xf numFmtId="0" fontId="3" fillId="0" borderId="0" xfId="5" applyFont="1" applyAlignment="1">
      <alignment vertical="top"/>
    </xf>
    <xf numFmtId="0" fontId="3" fillId="0" borderId="0" xfId="5" applyFont="1" applyAlignment="1">
      <alignment horizontal="left" vertical="top"/>
    </xf>
    <xf numFmtId="0" fontId="2" fillId="0" borderId="0" xfId="5" applyFont="1" applyAlignment="1">
      <alignment vertical="top" wrapText="1"/>
    </xf>
    <xf numFmtId="0" fontId="4" fillId="0" borderId="0" xfId="1"/>
    <xf numFmtId="0" fontId="0" fillId="0" borderId="0" xfId="0" applyAlignment="1">
      <alignment horizontal="left" vertical="top"/>
    </xf>
    <xf numFmtId="0" fontId="17" fillId="0" borderId="0" xfId="0" applyFont="1"/>
    <xf numFmtId="0" fontId="5" fillId="0" borderId="0" xfId="1" applyFont="1" applyAlignment="1">
      <alignment vertical="top"/>
    </xf>
    <xf numFmtId="0" fontId="1" fillId="0" borderId="0" xfId="2" applyFont="1" applyAlignment="1">
      <alignment vertical="top" wrapText="1"/>
    </xf>
    <xf numFmtId="2" fontId="3" fillId="0" borderId="0" xfId="0" applyNumberFormat="1" applyFont="1" applyAlignment="1">
      <alignment vertical="top"/>
    </xf>
    <xf numFmtId="0" fontId="11" fillId="0" borderId="0" xfId="1" applyFont="1"/>
    <xf numFmtId="0" fontId="8" fillId="0" borderId="0" xfId="0" applyFont="1"/>
    <xf numFmtId="2" fontId="0" fillId="0" borderId="0" xfId="0" applyNumberFormat="1"/>
    <xf numFmtId="0" fontId="0" fillId="0" borderId="0" xfId="0" applyAlignment="1">
      <alignment horizontal="left" vertical="top" wrapText="1"/>
    </xf>
    <xf numFmtId="2" fontId="1" fillId="0" borderId="0" xfId="0" applyNumberFormat="1" applyFont="1" applyAlignment="1">
      <alignment horizontal="left" vertical="top" wrapText="1"/>
    </xf>
    <xf numFmtId="2" fontId="3" fillId="0" borderId="0" xfId="0" applyNumberFormat="1" applyFont="1" applyAlignment="1">
      <alignment horizontal="left" vertical="top" wrapText="1"/>
    </xf>
    <xf numFmtId="2" fontId="2" fillId="0" borderId="0" xfId="0" applyNumberFormat="1" applyFont="1" applyAlignment="1">
      <alignment horizontal="left" vertical="top"/>
    </xf>
    <xf numFmtId="0" fontId="18" fillId="0" borderId="0" xfId="0" applyFont="1" applyAlignment="1">
      <alignment horizontal="left" vertical="top" wrapText="1"/>
    </xf>
    <xf numFmtId="2" fontId="3" fillId="0" borderId="0" xfId="0" applyNumberFormat="1" applyFont="1" applyAlignment="1">
      <alignment horizontal="left" vertical="top"/>
    </xf>
    <xf numFmtId="0" fontId="21" fillId="0" borderId="0" xfId="0" applyFont="1" applyAlignment="1">
      <alignment horizontal="left" vertical="top" wrapText="1"/>
    </xf>
    <xf numFmtId="0" fontId="22" fillId="0" borderId="0" xfId="0" applyFont="1" applyAlignment="1">
      <alignment horizontal="left" vertical="top" wrapText="1"/>
    </xf>
    <xf numFmtId="0" fontId="21" fillId="0" borderId="0" xfId="0" applyFont="1" applyAlignment="1">
      <alignment vertical="top" wrapText="1"/>
    </xf>
    <xf numFmtId="0" fontId="23" fillId="0" borderId="0" xfId="0" applyFont="1" applyAlignment="1">
      <alignment vertical="top" wrapText="1"/>
    </xf>
    <xf numFmtId="0" fontId="2" fillId="0" borderId="0" xfId="1" quotePrefix="1" applyFont="1" applyAlignment="1">
      <alignment horizontal="left" vertical="top" wrapText="1"/>
    </xf>
    <xf numFmtId="0" fontId="22" fillId="0" borderId="0" xfId="1" applyFont="1" applyAlignment="1">
      <alignment horizontal="left" vertical="top" wrapText="1"/>
    </xf>
    <xf numFmtId="0" fontId="19" fillId="0" borderId="0" xfId="0" applyFont="1" applyAlignment="1">
      <alignment horizontal="left" vertical="top"/>
    </xf>
    <xf numFmtId="2" fontId="19" fillId="0" borderId="0" xfId="0" applyNumberFormat="1" applyFont="1" applyAlignment="1">
      <alignment horizontal="left" vertical="top"/>
    </xf>
    <xf numFmtId="0" fontId="22" fillId="0" borderId="0" xfId="1" applyFont="1" applyAlignment="1">
      <alignment vertical="top" wrapText="1"/>
    </xf>
    <xf numFmtId="14" fontId="2" fillId="0" borderId="0" xfId="2" applyNumberFormat="1" applyFont="1" applyAlignment="1">
      <alignment horizontal="left" vertical="top" wrapText="1"/>
    </xf>
    <xf numFmtId="0" fontId="21" fillId="0" borderId="0" xfId="2" applyFont="1" applyAlignment="1">
      <alignment horizontal="left" vertical="top" wrapText="1"/>
    </xf>
    <xf numFmtId="0" fontId="2" fillId="0" borderId="0" xfId="1" applyFont="1" applyAlignment="1">
      <alignment vertical="center" wrapText="1"/>
    </xf>
    <xf numFmtId="1" fontId="2" fillId="0" borderId="0" xfId="2" applyNumberFormat="1" applyFont="1" applyAlignment="1">
      <alignment horizontal="left" vertical="top" wrapText="1"/>
    </xf>
    <xf numFmtId="14" fontId="2" fillId="0" borderId="0" xfId="1" applyNumberFormat="1" applyFont="1" applyAlignment="1">
      <alignment horizontal="left" vertical="top" wrapText="1"/>
    </xf>
    <xf numFmtId="0" fontId="23" fillId="0" borderId="0" xfId="1" applyFont="1" applyAlignment="1">
      <alignment horizontal="left" vertical="top" wrapText="1"/>
    </xf>
    <xf numFmtId="0" fontId="21" fillId="0" borderId="0" xfId="1" applyFont="1" applyAlignment="1">
      <alignment vertical="top" wrapText="1"/>
    </xf>
    <xf numFmtId="0" fontId="24" fillId="0" borderId="0" xfId="0" applyFont="1" applyAlignment="1">
      <alignment horizontal="left" vertical="top" wrapText="1"/>
    </xf>
    <xf numFmtId="0" fontId="24" fillId="0" borderId="0" xfId="1" applyFont="1" applyAlignment="1">
      <alignment vertical="top" wrapText="1"/>
    </xf>
    <xf numFmtId="0" fontId="24" fillId="0" borderId="0" xfId="2" applyFont="1" applyAlignment="1">
      <alignment vertical="top" wrapText="1"/>
    </xf>
    <xf numFmtId="0" fontId="25" fillId="0" borderId="0" xfId="0" applyFont="1"/>
    <xf numFmtId="0" fontId="20" fillId="0" borderId="0" xfId="0" applyFont="1"/>
    <xf numFmtId="2" fontId="0" fillId="0" borderId="0" xfId="0" applyNumberFormat="1" applyAlignment="1">
      <alignment horizontal="left" vertical="top"/>
    </xf>
    <xf numFmtId="0" fontId="8" fillId="0" borderId="0" xfId="0" applyFont="1" applyAlignment="1">
      <alignment wrapText="1"/>
    </xf>
    <xf numFmtId="166" fontId="3" fillId="0" borderId="0" xfId="0" applyNumberFormat="1" applyFont="1" applyAlignment="1">
      <alignment horizontal="left" wrapText="1"/>
    </xf>
    <xf numFmtId="2" fontId="3" fillId="0" borderId="0" xfId="0" applyNumberFormat="1" applyFont="1" applyAlignment="1">
      <alignment horizontal="left" wrapText="1"/>
    </xf>
    <xf numFmtId="0" fontId="17" fillId="0" borderId="0" xfId="0" applyFont="1" applyAlignment="1">
      <alignment horizontal="left" vertical="top"/>
    </xf>
    <xf numFmtId="0" fontId="17" fillId="0" borderId="0" xfId="0" applyFont="1" applyAlignment="1">
      <alignment horizontal="left" vertical="top" wrapText="1"/>
    </xf>
    <xf numFmtId="0" fontId="8" fillId="0" borderId="0" xfId="0" applyFont="1" applyAlignment="1">
      <alignment horizontal="left" vertical="top" wrapText="1"/>
    </xf>
    <xf numFmtId="0" fontId="0" fillId="0" borderId="0" xfId="0" quotePrefix="1"/>
    <xf numFmtId="1" fontId="2" fillId="0" borderId="0" xfId="0" applyNumberFormat="1" applyFont="1" applyAlignment="1">
      <alignment horizontal="left" vertical="top"/>
    </xf>
    <xf numFmtId="1" fontId="2" fillId="0" borderId="0" xfId="1" applyNumberFormat="1" applyFont="1" applyAlignment="1">
      <alignment horizontal="left" vertical="top" wrapText="1"/>
    </xf>
    <xf numFmtId="166" fontId="2" fillId="0" borderId="0" xfId="1" applyNumberFormat="1" applyFont="1" applyAlignment="1">
      <alignment horizontal="left" vertical="top" wrapText="1"/>
    </xf>
    <xf numFmtId="0" fontId="0" fillId="0" borderId="0" xfId="0" applyAlignment="1">
      <alignment horizontal="left"/>
    </xf>
    <xf numFmtId="166" fontId="2" fillId="0" borderId="0" xfId="2" applyNumberFormat="1" applyFont="1" applyAlignment="1">
      <alignment horizontal="left" vertical="top" wrapText="1"/>
    </xf>
    <xf numFmtId="165" fontId="2" fillId="0" borderId="0" xfId="1" applyNumberFormat="1" applyFont="1" applyAlignment="1">
      <alignment horizontal="left" vertical="top" wrapText="1"/>
    </xf>
    <xf numFmtId="165" fontId="2" fillId="0" borderId="0" xfId="0" applyNumberFormat="1" applyFont="1" applyAlignment="1">
      <alignment horizontal="left" vertical="top"/>
    </xf>
    <xf numFmtId="2" fontId="0" fillId="0" borderId="0" xfId="0" applyNumberFormat="1" applyAlignment="1">
      <alignment horizontal="left"/>
    </xf>
    <xf numFmtId="0" fontId="2" fillId="0" borderId="0" xfId="0" applyFont="1" applyAlignment="1">
      <alignment horizontal="left" vertical="center" wrapText="1"/>
    </xf>
    <xf numFmtId="0" fontId="2" fillId="0" borderId="0" xfId="6" applyFont="1" applyFill="1" applyAlignment="1">
      <alignment horizontal="left" vertical="top" wrapText="1"/>
    </xf>
    <xf numFmtId="0" fontId="1" fillId="0" borderId="0" xfId="0" applyFont="1" applyAlignment="1">
      <alignment vertical="top" wrapText="1"/>
    </xf>
    <xf numFmtId="2" fontId="3" fillId="0" borderId="0" xfId="5" applyNumberFormat="1" applyFont="1" applyAlignment="1">
      <alignment horizontal="left" vertical="top"/>
    </xf>
    <xf numFmtId="2" fontId="2" fillId="0" borderId="0" xfId="5" applyNumberFormat="1" applyFont="1" applyAlignment="1">
      <alignment horizontal="left" vertical="top" wrapText="1"/>
    </xf>
    <xf numFmtId="164" fontId="3" fillId="0" borderId="0" xfId="0" applyNumberFormat="1" applyFont="1" applyAlignment="1">
      <alignment horizontal="left" vertical="top" wrapText="1"/>
    </xf>
    <xf numFmtId="0" fontId="2" fillId="0" borderId="0" xfId="3" applyFont="1" applyAlignment="1">
      <alignment horizontal="left" vertical="top" wrapText="1"/>
    </xf>
    <xf numFmtId="0" fontId="7" fillId="0" borderId="0" xfId="0" applyFont="1" applyAlignment="1">
      <alignment horizontal="left" vertical="top" wrapText="1"/>
    </xf>
    <xf numFmtId="0" fontId="25" fillId="0" borderId="0" xfId="0" applyFont="1" applyAlignment="1">
      <alignment horizontal="left"/>
    </xf>
    <xf numFmtId="0" fontId="26" fillId="0" borderId="0" xfId="0" applyFont="1"/>
    <xf numFmtId="0" fontId="27" fillId="0" borderId="0" xfId="0" applyFont="1"/>
    <xf numFmtId="0" fontId="28" fillId="0" borderId="0" xfId="0" applyFont="1"/>
    <xf numFmtId="2" fontId="28" fillId="0" borderId="0" xfId="0" applyNumberFormat="1" applyFont="1"/>
    <xf numFmtId="2" fontId="3" fillId="0" borderId="0" xfId="0" applyNumberFormat="1" applyFont="1"/>
    <xf numFmtId="0" fontId="3" fillId="0" borderId="0" xfId="0" applyFont="1"/>
    <xf numFmtId="2" fontId="3" fillId="0" borderId="0" xfId="5" applyNumberFormat="1" applyFont="1" applyAlignment="1">
      <alignment vertical="top"/>
    </xf>
    <xf numFmtId="2" fontId="2" fillId="0" borderId="0" xfId="5" applyNumberFormat="1" applyFont="1" applyAlignment="1">
      <alignment vertical="top" wrapText="1"/>
    </xf>
    <xf numFmtId="2" fontId="3" fillId="0" borderId="0" xfId="0" applyNumberFormat="1" applyFont="1" applyAlignment="1">
      <alignment vertical="top" wrapText="1"/>
    </xf>
    <xf numFmtId="0" fontId="3" fillId="0" borderId="0" xfId="0" applyFont="1" applyAlignment="1">
      <alignment wrapText="1"/>
    </xf>
    <xf numFmtId="2" fontId="3" fillId="0" borderId="0" xfId="0" applyNumberFormat="1" applyFont="1" applyAlignment="1">
      <alignment wrapText="1"/>
    </xf>
    <xf numFmtId="2" fontId="3" fillId="0" borderId="0" xfId="0" applyNumberFormat="1" applyFont="1" applyAlignment="1">
      <alignment horizontal="right" vertical="top" wrapText="1"/>
    </xf>
    <xf numFmtId="0" fontId="3" fillId="0" borderId="0" xfId="0" applyFont="1" applyAlignment="1">
      <alignment horizontal="right" vertical="top" wrapText="1"/>
    </xf>
    <xf numFmtId="0" fontId="2" fillId="0" borderId="0" xfId="0" applyFont="1" applyAlignment="1">
      <alignment horizontal="right" vertical="top" wrapText="1"/>
    </xf>
    <xf numFmtId="166" fontId="3" fillId="0" borderId="0" xfId="0" applyNumberFormat="1" applyFont="1" applyAlignment="1">
      <alignment horizontal="right" vertical="top" wrapText="1"/>
    </xf>
    <xf numFmtId="166" fontId="2" fillId="0" borderId="0" xfId="0" applyNumberFormat="1" applyFont="1" applyAlignment="1">
      <alignment horizontal="right" vertical="top"/>
    </xf>
    <xf numFmtId="166" fontId="2" fillId="0" borderId="0" xfId="0" applyNumberFormat="1" applyFont="1" applyAlignment="1">
      <alignment horizontal="right" vertical="top" wrapText="1"/>
    </xf>
    <xf numFmtId="1" fontId="2" fillId="0" borderId="0" xfId="0" applyNumberFormat="1" applyFont="1" applyAlignment="1">
      <alignment horizontal="right" vertical="top"/>
    </xf>
    <xf numFmtId="2" fontId="2" fillId="0" borderId="0" xfId="2" applyNumberFormat="1" applyFont="1" applyAlignment="1">
      <alignment horizontal="right" vertical="top" wrapText="1"/>
    </xf>
    <xf numFmtId="0" fontId="2" fillId="0" borderId="0" xfId="2" applyFont="1" applyAlignment="1">
      <alignment horizontal="right" vertical="top" wrapText="1"/>
    </xf>
    <xf numFmtId="1" fontId="2" fillId="0" borderId="0" xfId="2" applyNumberFormat="1" applyFont="1" applyAlignment="1">
      <alignment horizontal="right" vertical="top" wrapText="1"/>
    </xf>
    <xf numFmtId="166" fontId="2" fillId="0" borderId="0" xfId="2" applyNumberFormat="1" applyFont="1" applyAlignment="1">
      <alignment horizontal="right" vertical="top" wrapText="1"/>
    </xf>
    <xf numFmtId="0" fontId="3" fillId="0" borderId="0" xfId="0" applyFont="1" applyAlignment="1">
      <alignment horizontal="right" vertical="top"/>
    </xf>
    <xf numFmtId="2" fontId="3" fillId="0" borderId="0" xfId="5" applyNumberFormat="1" applyFont="1" applyAlignment="1">
      <alignment horizontal="right" vertical="top"/>
    </xf>
    <xf numFmtId="0" fontId="3" fillId="0" borderId="0" xfId="5" applyFont="1" applyAlignment="1">
      <alignment horizontal="right" vertical="top"/>
    </xf>
    <xf numFmtId="2" fontId="3" fillId="0" borderId="0" xfId="0" applyNumberFormat="1" applyFont="1" applyAlignment="1">
      <alignment horizontal="right" vertical="top"/>
    </xf>
    <xf numFmtId="166" fontId="2" fillId="0" borderId="0" xfId="5" applyNumberFormat="1" applyFont="1" applyAlignment="1">
      <alignment horizontal="right" vertical="top" wrapText="1"/>
    </xf>
    <xf numFmtId="0" fontId="2" fillId="0" borderId="0" xfId="1" applyFont="1" applyAlignment="1">
      <alignment horizontal="right" vertical="top" wrapText="1"/>
    </xf>
    <xf numFmtId="1" fontId="2" fillId="0" borderId="0" xfId="1" applyNumberFormat="1" applyFont="1" applyAlignment="1">
      <alignment horizontal="right" vertical="top" wrapText="1"/>
    </xf>
    <xf numFmtId="166" fontId="2" fillId="0" borderId="0" xfId="1" applyNumberFormat="1" applyFont="1" applyAlignment="1">
      <alignment horizontal="right" vertical="top" wrapText="1"/>
    </xf>
    <xf numFmtId="2" fontId="1" fillId="0" borderId="0" xfId="2" applyNumberFormat="1" applyFont="1" applyAlignment="1">
      <alignment horizontal="right" vertical="top" wrapText="1"/>
    </xf>
    <xf numFmtId="0" fontId="1" fillId="0" borderId="0" xfId="2" applyFont="1" applyAlignment="1">
      <alignment horizontal="right" vertical="top" wrapText="1"/>
    </xf>
    <xf numFmtId="166" fontId="1" fillId="0" borderId="0" xfId="2" applyNumberFormat="1" applyFont="1" applyAlignment="1">
      <alignment horizontal="right" vertical="top" wrapText="1"/>
    </xf>
    <xf numFmtId="2" fontId="2" fillId="0" borderId="0" xfId="0" applyNumberFormat="1" applyFont="1" applyAlignment="1">
      <alignment vertical="top"/>
    </xf>
    <xf numFmtId="166" fontId="2" fillId="0" borderId="0" xfId="0" applyNumberFormat="1" applyFont="1" applyAlignment="1">
      <alignment vertical="top"/>
    </xf>
    <xf numFmtId="166" fontId="2" fillId="0" borderId="0" xfId="1" applyNumberFormat="1" applyFont="1" applyAlignment="1">
      <alignment vertical="top"/>
    </xf>
  </cellXfs>
  <cellStyles count="9">
    <cellStyle name="Hyperlink" xfId="6" builtinId="8"/>
    <cellStyle name="Hyperlink 2" xfId="7" xr:uid="{5B5A79DF-1225-4B44-BB04-CFAC97B1C74E}"/>
    <cellStyle name="Normal" xfId="0" builtinId="0"/>
    <cellStyle name="Normal 2" xfId="1" xr:uid="{4FD385AB-6C38-4E0B-A3B9-1CDF73FE8DB1}"/>
    <cellStyle name="Normal 2 2" xfId="2" xr:uid="{C466EB92-00EB-4114-A012-59AAFA6C3479}"/>
    <cellStyle name="Normal 3" xfId="3" xr:uid="{04DCE82E-8B5A-40D5-B39C-C354213CC9E7}"/>
    <cellStyle name="Normal 4" xfId="4" xr:uid="{7EF14C96-2DF1-4363-AD05-F2D97379445D}"/>
    <cellStyle name="Normal 4 2" xfId="8" xr:uid="{BA4285E0-2F5F-4982-8BA3-278FBCE077EB}"/>
    <cellStyle name="Normal 6" xfId="5" xr:uid="{9254FA01-0A68-4280-B03B-F5F529B8C5F0}"/>
  </cellStyles>
  <dxfs count="2">
    <dxf>
      <numFmt numFmtId="0" formatCode="General"/>
    </dxf>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ws1.lboro.ac.uk\PROJECTS\MIS%20+\MIS%202010-2014\MIS%202012\Spreadsheets\Master%20v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tals"/>
      <sheetName val="A"/>
      <sheetName val="B"/>
      <sheetName val="C"/>
      <sheetName val="D"/>
      <sheetName val="E"/>
      <sheetName val="F"/>
      <sheetName val="G"/>
      <sheetName val="H"/>
    </sheetNames>
    <sheetDataSet>
      <sheetData sheetId="0" refreshError="1"/>
      <sheetData sheetId="1" refreshError="1">
        <row r="10">
          <cell r="F10">
            <v>2.4874999999999998</v>
          </cell>
        </row>
        <row r="11">
          <cell r="F11">
            <v>2.3819178082191783</v>
          </cell>
        </row>
        <row r="12">
          <cell r="F12">
            <v>4.8694178082191781</v>
          </cell>
        </row>
      </sheetData>
      <sheetData sheetId="2" refreshError="1">
        <row r="11">
          <cell r="F11">
            <v>2.5197123287671235</v>
          </cell>
        </row>
        <row r="12">
          <cell r="F12">
            <v>1.9950000000000001</v>
          </cell>
        </row>
        <row r="13">
          <cell r="F13">
            <v>0.52471232876712326</v>
          </cell>
        </row>
        <row r="14">
          <cell r="F14">
            <v>0</v>
          </cell>
        </row>
        <row r="15">
          <cell r="F15">
            <v>2.5197123287671235</v>
          </cell>
        </row>
      </sheetData>
      <sheetData sheetId="3" refreshError="1">
        <row r="14">
          <cell r="F14">
            <v>0.21076712328767122</v>
          </cell>
        </row>
      </sheetData>
      <sheetData sheetId="4" refreshError="1">
        <row r="9">
          <cell r="E9">
            <v>0</v>
          </cell>
        </row>
        <row r="10">
          <cell r="E10">
            <v>186.32</v>
          </cell>
        </row>
        <row r="11">
          <cell r="E11">
            <v>0.11602739726027396</v>
          </cell>
        </row>
        <row r="12">
          <cell r="E12">
            <v>186.43602739726026</v>
          </cell>
        </row>
        <row r="13">
          <cell r="E13">
            <v>0</v>
          </cell>
        </row>
        <row r="14">
          <cell r="E14">
            <v>0</v>
          </cell>
        </row>
        <row r="15">
          <cell r="E15">
            <v>0</v>
          </cell>
        </row>
      </sheetData>
      <sheetData sheetId="5" refreshError="1">
        <row r="15">
          <cell r="F15">
            <v>6.8964383561643833E-2</v>
          </cell>
        </row>
        <row r="16">
          <cell r="F16">
            <v>0</v>
          </cell>
        </row>
        <row r="17">
          <cell r="F17">
            <v>0</v>
          </cell>
        </row>
        <row r="18">
          <cell r="F18">
            <v>0</v>
          </cell>
        </row>
        <row r="19">
          <cell r="F19">
            <v>0</v>
          </cell>
        </row>
        <row r="20">
          <cell r="F20">
            <v>0</v>
          </cell>
        </row>
        <row r="21">
          <cell r="F21">
            <v>0</v>
          </cell>
        </row>
        <row r="22">
          <cell r="F22">
            <v>6.8964383561643833E-2</v>
          </cell>
        </row>
      </sheetData>
      <sheetData sheetId="6" refreshError="1">
        <row r="8">
          <cell r="F8">
            <v>0.5523287671232876</v>
          </cell>
        </row>
      </sheetData>
      <sheetData sheetId="7" refreshError="1">
        <row r="13">
          <cell r="F13">
            <v>52.372691780821924</v>
          </cell>
        </row>
        <row r="14">
          <cell r="F14">
            <v>0</v>
          </cell>
        </row>
        <row r="15">
          <cell r="F15">
            <v>52.372691780821924</v>
          </cell>
        </row>
      </sheetData>
      <sheetData sheetId="8" refreshError="1">
        <row r="16">
          <cell r="F16">
            <v>1.9904931506849317</v>
          </cell>
        </row>
        <row r="17">
          <cell r="F17">
            <v>0</v>
          </cell>
        </row>
        <row r="18">
          <cell r="F18">
            <v>0.10835616438356165</v>
          </cell>
        </row>
        <row r="19">
          <cell r="F19">
            <v>0</v>
          </cell>
        </row>
        <row r="20">
          <cell r="F20">
            <v>0</v>
          </cell>
        </row>
        <row r="21">
          <cell r="F21">
            <v>0</v>
          </cell>
        </row>
        <row r="22">
          <cell r="F22">
            <v>2.0988493150684935</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FD6C59-9432-473F-8F4F-9BACECF88CDF}">
  <dimension ref="A1:H45"/>
  <sheetViews>
    <sheetView view="pageBreakPreview" topLeftCell="B1" zoomScale="85" zoomScaleNormal="80" zoomScaleSheetLayoutView="85" workbookViewId="0">
      <selection activeCell="B1" sqref="B1"/>
    </sheetView>
  </sheetViews>
  <sheetFormatPr defaultRowHeight="15" x14ac:dyDescent="0.25"/>
  <cols>
    <col min="1" max="1" width="39.28515625" bestFit="1" customWidth="1"/>
    <col min="4" max="4" width="22.5703125" customWidth="1"/>
    <col min="5" max="5" width="13.42578125" style="139" customWidth="1"/>
    <col min="6" max="6" width="12" bestFit="1" customWidth="1"/>
    <col min="7" max="7" width="38.28515625" customWidth="1"/>
    <col min="8" max="8" width="10.85546875" style="139" customWidth="1"/>
  </cols>
  <sheetData>
    <row r="1" spans="1:8" ht="15.75" x14ac:dyDescent="0.25">
      <c r="A1" s="137" t="s">
        <v>1317</v>
      </c>
      <c r="B1" s="138" t="s">
        <v>1319</v>
      </c>
      <c r="C1" s="138"/>
      <c r="D1" s="138"/>
    </row>
    <row r="2" spans="1:8" ht="15.75" x14ac:dyDescent="0.25">
      <c r="A2" s="137"/>
      <c r="B2" s="138"/>
      <c r="C2" s="138"/>
      <c r="D2" s="138"/>
    </row>
    <row r="3" spans="1:8" ht="15.75" x14ac:dyDescent="0.25">
      <c r="A3" s="137" t="s">
        <v>1260</v>
      </c>
      <c r="B3" s="138"/>
      <c r="C3" s="138"/>
      <c r="D3" s="138"/>
      <c r="F3" s="84"/>
      <c r="G3" s="139" t="s">
        <v>1247</v>
      </c>
      <c r="H3" s="140">
        <f>E5</f>
        <v>63.777190246022371</v>
      </c>
    </row>
    <row r="4" spans="1:8" x14ac:dyDescent="0.25">
      <c r="A4" s="138"/>
      <c r="B4" s="138"/>
      <c r="C4" s="138"/>
      <c r="D4" s="138"/>
      <c r="F4" s="84"/>
      <c r="G4" s="139" t="s">
        <v>1248</v>
      </c>
      <c r="H4" s="140">
        <f>E9</f>
        <v>6.1662920703456674</v>
      </c>
    </row>
    <row r="5" spans="1:8" x14ac:dyDescent="0.25">
      <c r="A5" s="139" t="s">
        <v>1276</v>
      </c>
      <c r="B5" s="140"/>
      <c r="C5" s="140"/>
      <c r="D5" s="140"/>
      <c r="E5" s="140">
        <f>SUM(E6:E7)</f>
        <v>63.777190246022371</v>
      </c>
      <c r="F5" s="84"/>
      <c r="G5" s="139" t="s">
        <v>1249</v>
      </c>
      <c r="H5" s="139">
        <f>E12</f>
        <v>0</v>
      </c>
    </row>
    <row r="6" spans="1:8" x14ac:dyDescent="0.25">
      <c r="A6" s="139"/>
      <c r="B6" s="140" t="s">
        <v>1277</v>
      </c>
      <c r="C6" s="140"/>
      <c r="D6" s="140"/>
      <c r="E6" s="140">
        <f>Food!E97</f>
        <v>51.601793298095018</v>
      </c>
      <c r="F6" s="84"/>
      <c r="G6" s="139" t="s">
        <v>1250</v>
      </c>
      <c r="H6" s="140">
        <f>E14</f>
        <v>12.182954628082193</v>
      </c>
    </row>
    <row r="7" spans="1:8" x14ac:dyDescent="0.25">
      <c r="A7" s="139"/>
      <c r="B7" s="140" t="s">
        <v>1278</v>
      </c>
      <c r="C7" s="140"/>
      <c r="D7" s="140"/>
      <c r="E7" s="140">
        <f>Food!E98</f>
        <v>12.175396947927357</v>
      </c>
      <c r="F7" s="84"/>
      <c r="G7" s="139" t="s">
        <v>227</v>
      </c>
      <c r="H7" s="140">
        <f>E17</f>
        <v>8.06</v>
      </c>
    </row>
    <row r="8" spans="1:8" x14ac:dyDescent="0.25">
      <c r="A8" s="139"/>
      <c r="B8" s="140"/>
      <c r="C8" s="140"/>
      <c r="D8" s="140"/>
      <c r="F8" s="84"/>
      <c r="G8" s="139" t="s">
        <v>230</v>
      </c>
      <c r="H8" s="140">
        <f>E18</f>
        <v>20.68</v>
      </c>
    </row>
    <row r="9" spans="1:8" x14ac:dyDescent="0.25">
      <c r="A9" s="139" t="s">
        <v>1279</v>
      </c>
      <c r="B9" s="140" t="s">
        <v>1280</v>
      </c>
      <c r="C9" s="140"/>
      <c r="D9" s="140"/>
      <c r="E9" s="140">
        <f>SUM(E10:E11)</f>
        <v>6.1662920703456674</v>
      </c>
      <c r="F9" s="84"/>
      <c r="G9" s="139" t="s">
        <v>1251</v>
      </c>
      <c r="H9" s="140">
        <f>E19</f>
        <v>1.7341690359265962</v>
      </c>
    </row>
    <row r="10" spans="1:8" x14ac:dyDescent="0.25">
      <c r="A10" s="139"/>
      <c r="B10" s="140"/>
      <c r="C10" s="140" t="s">
        <v>1281</v>
      </c>
      <c r="D10" s="140"/>
      <c r="E10" s="140">
        <f>Alcohol!E9</f>
        <v>4.9364497607655506</v>
      </c>
      <c r="F10" s="84"/>
      <c r="G10" s="139" t="s">
        <v>235</v>
      </c>
      <c r="H10" s="140">
        <f>E20</f>
        <v>32.770000000000003</v>
      </c>
    </row>
    <row r="11" spans="1:8" x14ac:dyDescent="0.25">
      <c r="A11" s="139"/>
      <c r="B11" s="140"/>
      <c r="C11" s="140" t="s">
        <v>1282</v>
      </c>
      <c r="D11" s="140"/>
      <c r="E11" s="140">
        <f>Alcohol!E10</f>
        <v>1.229842309580117</v>
      </c>
      <c r="F11" s="84"/>
      <c r="G11" s="139" t="s">
        <v>1252</v>
      </c>
      <c r="H11" s="140">
        <f>E21</f>
        <v>2.0144754201447546</v>
      </c>
    </row>
    <row r="12" spans="1:8" x14ac:dyDescent="0.25">
      <c r="A12" s="139"/>
      <c r="B12" s="140"/>
      <c r="C12" s="140"/>
      <c r="D12" s="140"/>
      <c r="F12" s="84"/>
      <c r="G12" s="139" t="s">
        <v>1253</v>
      </c>
      <c r="H12" s="140">
        <f>E23</f>
        <v>21.223310543836309</v>
      </c>
    </row>
    <row r="13" spans="1:8" x14ac:dyDescent="0.25">
      <c r="A13" s="139"/>
      <c r="B13" s="140"/>
      <c r="C13" s="140"/>
      <c r="D13" s="140"/>
      <c r="F13" s="84"/>
      <c r="G13" s="139" t="s">
        <v>1254</v>
      </c>
      <c r="H13" s="140">
        <f>E24</f>
        <v>10.758906257968267</v>
      </c>
    </row>
    <row r="14" spans="1:8" x14ac:dyDescent="0.25">
      <c r="A14" s="139" t="s">
        <v>1283</v>
      </c>
      <c r="B14" s="140"/>
      <c r="C14" s="140"/>
      <c r="D14" s="140"/>
      <c r="E14" s="140">
        <f>SUM(Clothing!F49+Footwear!E17)</f>
        <v>12.182954628082193</v>
      </c>
      <c r="F14" s="84"/>
      <c r="G14" s="139" t="s">
        <v>1255</v>
      </c>
      <c r="H14" s="140">
        <f>E31</f>
        <v>32.77073925480849</v>
      </c>
    </row>
    <row r="15" spans="1:8" x14ac:dyDescent="0.25">
      <c r="A15" s="139" t="s">
        <v>1284</v>
      </c>
      <c r="B15" s="140" t="s">
        <v>1285</v>
      </c>
      <c r="C15" s="140"/>
      <c r="D15" s="140"/>
      <c r="E15" s="140">
        <f>Housing!E11</f>
        <v>0</v>
      </c>
      <c r="F15" s="84"/>
      <c r="G15" s="139" t="s">
        <v>1256</v>
      </c>
      <c r="H15" s="139">
        <f>E32</f>
        <v>0</v>
      </c>
    </row>
    <row r="16" spans="1:8" x14ac:dyDescent="0.25">
      <c r="A16" s="139"/>
      <c r="B16" s="140" t="s">
        <v>1286</v>
      </c>
      <c r="C16" s="140"/>
      <c r="D16" s="140"/>
      <c r="E16" s="139">
        <f>Housing!E12</f>
        <v>0</v>
      </c>
      <c r="F16" s="84"/>
      <c r="G16" s="139" t="s">
        <v>1257</v>
      </c>
      <c r="H16" s="140">
        <f>E33</f>
        <v>12.932764162517874</v>
      </c>
    </row>
    <row r="17" spans="1:8" x14ac:dyDescent="0.25">
      <c r="A17" s="139"/>
      <c r="B17" s="140" t="s">
        <v>1287</v>
      </c>
      <c r="C17" s="140"/>
      <c r="D17" s="140"/>
      <c r="E17" s="140">
        <f>Housing!E13</f>
        <v>8.06</v>
      </c>
      <c r="F17" s="84"/>
      <c r="G17" s="139" t="s">
        <v>1311</v>
      </c>
      <c r="H17" s="140">
        <f>E34</f>
        <v>51.443989964632053</v>
      </c>
    </row>
    <row r="18" spans="1:8" x14ac:dyDescent="0.25">
      <c r="A18" s="139"/>
      <c r="B18" s="140" t="s">
        <v>1288</v>
      </c>
      <c r="C18" s="140"/>
      <c r="D18" s="140"/>
      <c r="E18" s="140">
        <f>Housing!E14</f>
        <v>20.68</v>
      </c>
      <c r="F18" s="84"/>
      <c r="G18" s="139" t="s">
        <v>1312</v>
      </c>
      <c r="H18" s="140">
        <f>SUM(H3:H17)</f>
        <v>276.51479158428458</v>
      </c>
    </row>
    <row r="19" spans="1:8" x14ac:dyDescent="0.25">
      <c r="A19" s="139"/>
      <c r="B19" s="140" t="s">
        <v>1289</v>
      </c>
      <c r="C19" s="140"/>
      <c r="D19" s="140"/>
      <c r="E19" s="140">
        <f>Housing!E15</f>
        <v>1.7341690359265962</v>
      </c>
      <c r="F19" s="84"/>
      <c r="G19" s="139"/>
      <c r="H19" s="140"/>
    </row>
    <row r="20" spans="1:8" x14ac:dyDescent="0.25">
      <c r="A20" s="139"/>
      <c r="B20" s="140" t="s">
        <v>1290</v>
      </c>
      <c r="C20" s="140"/>
      <c r="D20" s="140"/>
      <c r="E20" s="140">
        <f>Housing!E16</f>
        <v>32.770000000000003</v>
      </c>
      <c r="F20" s="84"/>
    </row>
    <row r="21" spans="1:8" x14ac:dyDescent="0.25">
      <c r="A21" s="139"/>
      <c r="B21" s="140" t="s">
        <v>1291</v>
      </c>
      <c r="C21" s="140"/>
      <c r="D21" s="140"/>
      <c r="E21" s="140">
        <f>Housing!E17</f>
        <v>2.0144754201447546</v>
      </c>
      <c r="F21" s="84"/>
    </row>
    <row r="22" spans="1:8" x14ac:dyDescent="0.25">
      <c r="A22" s="139"/>
      <c r="B22" s="140"/>
      <c r="C22" s="140"/>
      <c r="D22" s="140"/>
    </row>
    <row r="23" spans="1:8" x14ac:dyDescent="0.25">
      <c r="A23" s="139" t="s">
        <v>1292</v>
      </c>
      <c r="B23" s="140" t="s">
        <v>1293</v>
      </c>
      <c r="C23" s="140"/>
      <c r="D23" s="140"/>
      <c r="E23" s="140">
        <f>HHGoods!E171</f>
        <v>21.223310543836309</v>
      </c>
    </row>
    <row r="24" spans="1:8" x14ac:dyDescent="0.25">
      <c r="A24" s="139"/>
      <c r="B24" s="140" t="s">
        <v>1294</v>
      </c>
      <c r="C24" s="140"/>
      <c r="D24" s="140"/>
      <c r="E24" s="140">
        <f>SUM(E26:E29)</f>
        <v>10.758906257968267</v>
      </c>
    </row>
    <row r="25" spans="1:8" x14ac:dyDescent="0.25">
      <c r="A25" s="139"/>
      <c r="B25" s="140"/>
      <c r="C25" s="140" t="s">
        <v>1295</v>
      </c>
      <c r="D25" s="140"/>
      <c r="E25" s="140">
        <f>SUM(E26:E27)</f>
        <v>10.758906257968267</v>
      </c>
    </row>
    <row r="26" spans="1:8" x14ac:dyDescent="0.25">
      <c r="A26" s="139"/>
      <c r="B26" s="139"/>
      <c r="C26" s="139"/>
      <c r="D26" s="139" t="s">
        <v>1296</v>
      </c>
      <c r="E26" s="140">
        <f>HHServices!F11</f>
        <v>2.4294069388943287</v>
      </c>
    </row>
    <row r="27" spans="1:8" x14ac:dyDescent="0.25">
      <c r="A27" s="139"/>
      <c r="B27" s="139"/>
      <c r="C27" s="139"/>
      <c r="D27" s="139" t="s">
        <v>1297</v>
      </c>
      <c r="E27" s="140">
        <f>HHServices!F12</f>
        <v>8.329499319073939</v>
      </c>
    </row>
    <row r="28" spans="1:8" x14ac:dyDescent="0.25">
      <c r="A28" s="139"/>
      <c r="B28" s="140"/>
      <c r="C28" s="140" t="s">
        <v>1298</v>
      </c>
      <c r="D28" s="140"/>
      <c r="E28" s="139">
        <v>0</v>
      </c>
    </row>
    <row r="29" spans="1:8" x14ac:dyDescent="0.25">
      <c r="A29" s="139"/>
      <c r="B29" s="140"/>
      <c r="C29" s="140" t="s">
        <v>1299</v>
      </c>
      <c r="D29" s="140"/>
      <c r="E29" s="139">
        <v>0</v>
      </c>
    </row>
    <row r="30" spans="1:8" x14ac:dyDescent="0.25">
      <c r="A30" s="139"/>
      <c r="B30" s="140"/>
      <c r="C30" s="140"/>
      <c r="D30" s="140"/>
    </row>
    <row r="31" spans="1:8" x14ac:dyDescent="0.25">
      <c r="A31" s="139" t="s">
        <v>1300</v>
      </c>
      <c r="B31" s="140"/>
      <c r="C31" s="140"/>
      <c r="D31" s="140"/>
      <c r="E31" s="140">
        <f>SUM('PersonalGoods+Services'!F47+Health!F21)</f>
        <v>32.77073925480849</v>
      </c>
    </row>
    <row r="32" spans="1:8" x14ac:dyDescent="0.25">
      <c r="A32" s="139" t="s">
        <v>1301</v>
      </c>
      <c r="B32" s="139" t="s">
        <v>1302</v>
      </c>
      <c r="C32" s="139"/>
      <c r="D32" s="139"/>
      <c r="E32" s="139">
        <v>0</v>
      </c>
    </row>
    <row r="33" spans="1:5" x14ac:dyDescent="0.25">
      <c r="A33" s="139"/>
      <c r="B33" s="139" t="s">
        <v>1303</v>
      </c>
      <c r="C33" s="139"/>
      <c r="D33" s="139"/>
      <c r="E33" s="140">
        <f>Transport!E10</f>
        <v>12.932764162517874</v>
      </c>
    </row>
    <row r="34" spans="1:5" x14ac:dyDescent="0.25">
      <c r="A34" s="139" t="s">
        <v>1304</v>
      </c>
      <c r="B34" s="139"/>
      <c r="C34" s="139"/>
      <c r="D34" s="139"/>
      <c r="E34" s="140">
        <f>SUM(E35:E40)</f>
        <v>51.443989964632053</v>
      </c>
    </row>
    <row r="35" spans="1:5" x14ac:dyDescent="0.25">
      <c r="A35" s="139"/>
      <c r="B35" s="139" t="s">
        <v>1305</v>
      </c>
      <c r="C35" s="139"/>
      <c r="D35" s="139"/>
      <c r="E35" s="140">
        <f>LeisureGoods!E15</f>
        <v>14.297513000805029</v>
      </c>
    </row>
    <row r="36" spans="1:5" x14ac:dyDescent="0.25">
      <c r="A36" s="139"/>
      <c r="B36" s="139" t="s">
        <v>1306</v>
      </c>
      <c r="C36" s="139"/>
      <c r="D36" s="139"/>
      <c r="E36" s="139">
        <v>0</v>
      </c>
    </row>
    <row r="37" spans="1:5" x14ac:dyDescent="0.25">
      <c r="A37" s="139"/>
      <c r="B37" s="139" t="s">
        <v>1307</v>
      </c>
      <c r="C37" s="139"/>
      <c r="D37" s="139"/>
      <c r="E37" s="140">
        <f>LeisureServices!E14</f>
        <v>22.483538791516178</v>
      </c>
    </row>
    <row r="38" spans="1:5" x14ac:dyDescent="0.25">
      <c r="A38" s="139"/>
      <c r="B38" s="140" t="s">
        <v>1308</v>
      </c>
      <c r="C38" s="140"/>
      <c r="D38" s="140"/>
      <c r="E38" s="140">
        <f>LeisureServices!E15</f>
        <v>3.0493150684931507</v>
      </c>
    </row>
    <row r="39" spans="1:5" x14ac:dyDescent="0.25">
      <c r="A39" s="139"/>
      <c r="B39" s="140" t="s">
        <v>1309</v>
      </c>
      <c r="C39" s="140"/>
      <c r="D39" s="140"/>
      <c r="E39" s="139">
        <v>0</v>
      </c>
    </row>
    <row r="40" spans="1:5" x14ac:dyDescent="0.25">
      <c r="A40" s="139"/>
      <c r="B40" s="140" t="s">
        <v>1310</v>
      </c>
      <c r="C40" s="140"/>
      <c r="D40" s="140"/>
      <c r="E40" s="140">
        <f>LeisureServices!E17</f>
        <v>11.613623103817694</v>
      </c>
    </row>
    <row r="41" spans="1:5" x14ac:dyDescent="0.25">
      <c r="A41" s="139"/>
      <c r="B41" s="140"/>
      <c r="C41" s="140"/>
      <c r="D41" s="140"/>
    </row>
    <row r="43" spans="1:5" x14ac:dyDescent="0.25">
      <c r="B43" s="84"/>
      <c r="C43" s="84"/>
      <c r="D43" s="84"/>
    </row>
    <row r="45" spans="1:5" x14ac:dyDescent="0.25">
      <c r="B45" s="84"/>
      <c r="C45" s="84"/>
    </row>
  </sheetData>
  <pageMargins left="0.7" right="0.7" top="0.75" bottom="0.75" header="0.3" footer="0.3"/>
  <pageSetup paperSize="9" scale="65"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CF56EC-F186-4247-A307-3D0D5E332FC6}">
  <dimension ref="A1:N51"/>
  <sheetViews>
    <sheetView view="pageBreakPreview" zoomScale="115" zoomScaleNormal="80" zoomScaleSheetLayoutView="115" workbookViewId="0"/>
  </sheetViews>
  <sheetFormatPr defaultRowHeight="15" x14ac:dyDescent="0.25"/>
  <cols>
    <col min="1" max="1" width="5.5703125" customWidth="1"/>
    <col min="2" max="2" width="6.42578125" customWidth="1"/>
    <col min="3" max="3" width="5.85546875" customWidth="1"/>
    <col min="5" max="5" width="15.140625" customWidth="1"/>
    <col min="7" max="7" width="6.42578125" style="123" customWidth="1"/>
    <col min="8" max="8" width="5.85546875" style="123" customWidth="1"/>
    <col min="9" max="9" width="6.5703125" style="123" customWidth="1"/>
    <col min="10" max="10" width="7.140625" style="123" customWidth="1"/>
    <col min="11" max="11" width="6.140625" style="123" customWidth="1"/>
    <col min="12" max="12" width="31.85546875" customWidth="1"/>
    <col min="13" max="13" width="38" style="123" customWidth="1"/>
    <col min="14" max="14" width="11.5703125" customWidth="1"/>
  </cols>
  <sheetData>
    <row r="1" spans="1:14" x14ac:dyDescent="0.25">
      <c r="A1" s="138" t="s">
        <v>1318</v>
      </c>
      <c r="B1" s="28"/>
      <c r="C1" s="7"/>
      <c r="D1" s="7"/>
      <c r="E1" s="7"/>
      <c r="F1" s="7"/>
      <c r="G1" s="18"/>
      <c r="H1" s="18"/>
      <c r="I1" s="18"/>
      <c r="J1" s="18"/>
      <c r="K1" s="18"/>
      <c r="L1" s="8"/>
      <c r="M1" s="18"/>
      <c r="N1" s="7"/>
    </row>
    <row r="2" spans="1:14" x14ac:dyDescent="0.25">
      <c r="A2" s="6" t="s">
        <v>14</v>
      </c>
      <c r="B2" s="28"/>
      <c r="C2" s="6"/>
      <c r="D2" s="2"/>
      <c r="E2" s="2"/>
      <c r="F2" s="2"/>
      <c r="G2" s="4"/>
      <c r="H2" s="133"/>
      <c r="I2" s="4"/>
      <c r="J2" s="4"/>
      <c r="K2" s="4"/>
      <c r="L2" s="2"/>
      <c r="M2" s="4"/>
      <c r="N2" s="2"/>
    </row>
    <row r="3" spans="1:14" x14ac:dyDescent="0.25">
      <c r="A3" s="9" t="s">
        <v>1260</v>
      </c>
      <c r="B3" s="23"/>
      <c r="C3" s="19"/>
      <c r="D3" s="19"/>
      <c r="E3" s="19"/>
      <c r="F3" s="19"/>
      <c r="G3" s="1"/>
      <c r="H3" s="1"/>
      <c r="I3" s="1"/>
      <c r="J3" s="1"/>
      <c r="K3" s="1"/>
      <c r="L3" s="19"/>
      <c r="M3" s="1"/>
      <c r="N3" s="106"/>
    </row>
    <row r="4" spans="1:14" ht="45" x14ac:dyDescent="0.25">
      <c r="A4" s="11" t="s">
        <v>0</v>
      </c>
      <c r="B4" s="11" t="s">
        <v>1</v>
      </c>
      <c r="C4" s="11" t="s">
        <v>2</v>
      </c>
      <c r="D4" s="12" t="s">
        <v>3</v>
      </c>
      <c r="E4" s="12" t="s">
        <v>4</v>
      </c>
      <c r="F4" s="12" t="s">
        <v>6</v>
      </c>
      <c r="G4" s="13" t="s">
        <v>7</v>
      </c>
      <c r="H4" s="13" t="s">
        <v>8</v>
      </c>
      <c r="I4" s="12" t="s">
        <v>9</v>
      </c>
      <c r="J4" s="12" t="s">
        <v>10</v>
      </c>
      <c r="K4" s="13" t="s">
        <v>11</v>
      </c>
      <c r="L4" s="13" t="s">
        <v>12</v>
      </c>
      <c r="M4" s="12" t="s">
        <v>13</v>
      </c>
      <c r="N4" s="12"/>
    </row>
    <row r="5" spans="1:14" x14ac:dyDescent="0.25">
      <c r="A5" s="14" t="s">
        <v>16</v>
      </c>
      <c r="B5" s="14">
        <v>6.2</v>
      </c>
      <c r="C5" s="14" t="s">
        <v>240</v>
      </c>
      <c r="D5" s="1" t="s">
        <v>15</v>
      </c>
      <c r="E5" s="1" t="s">
        <v>895</v>
      </c>
      <c r="F5" s="1"/>
      <c r="G5" s="15">
        <v>0</v>
      </c>
      <c r="H5" s="165">
        <v>1</v>
      </c>
      <c r="I5" s="164">
        <v>1</v>
      </c>
      <c r="J5" s="166">
        <f>365/7*2</f>
        <v>104.28571428571429</v>
      </c>
      <c r="K5" s="15">
        <f t="shared" ref="K5:K19" si="0">G5*I5/J5</f>
        <v>0</v>
      </c>
      <c r="L5" s="17" t="s">
        <v>896</v>
      </c>
      <c r="M5" s="1" t="s">
        <v>897</v>
      </c>
    </row>
    <row r="6" spans="1:14" ht="45" x14ac:dyDescent="0.25">
      <c r="A6" s="7" t="s">
        <v>16</v>
      </c>
      <c r="B6" s="18">
        <v>6.1</v>
      </c>
      <c r="C6" s="7" t="s">
        <v>240</v>
      </c>
      <c r="D6" s="14" t="s">
        <v>15</v>
      </c>
      <c r="E6" s="14" t="s">
        <v>17</v>
      </c>
      <c r="F6" s="8"/>
      <c r="G6" s="16">
        <v>216.1319890009166</v>
      </c>
      <c r="H6" s="29">
        <v>1</v>
      </c>
      <c r="I6" s="29">
        <v>1</v>
      </c>
      <c r="J6" s="152">
        <f>365/7*2</f>
        <v>104.28571428571429</v>
      </c>
      <c r="K6" s="16">
        <f t="shared" si="0"/>
        <v>2.0724985246663237</v>
      </c>
      <c r="L6" s="8" t="s">
        <v>898</v>
      </c>
      <c r="M6" s="134" t="s">
        <v>899</v>
      </c>
    </row>
    <row r="7" spans="1:14" ht="22.5" x14ac:dyDescent="0.25">
      <c r="A7" s="7" t="s">
        <v>16</v>
      </c>
      <c r="B7" s="18">
        <v>6.2</v>
      </c>
      <c r="C7" s="7" t="s">
        <v>240</v>
      </c>
      <c r="D7" s="14" t="s">
        <v>15</v>
      </c>
      <c r="E7" s="14" t="s">
        <v>18</v>
      </c>
      <c r="F7" s="54"/>
      <c r="G7" s="16">
        <v>24.792493744787325</v>
      </c>
      <c r="H7" s="29">
        <v>1</v>
      </c>
      <c r="I7" s="29">
        <v>2</v>
      </c>
      <c r="J7" s="152">
        <f>365/7</f>
        <v>52.142857142857146</v>
      </c>
      <c r="K7" s="155">
        <f t="shared" si="0"/>
        <v>0.9509449655534864</v>
      </c>
      <c r="L7" s="8" t="s">
        <v>900</v>
      </c>
      <c r="M7" s="14" t="s">
        <v>35</v>
      </c>
    </row>
    <row r="8" spans="1:14" ht="22.5" x14ac:dyDescent="0.25">
      <c r="A8" s="7" t="s">
        <v>16</v>
      </c>
      <c r="B8" s="18">
        <v>6.2</v>
      </c>
      <c r="C8" s="7" t="s">
        <v>240</v>
      </c>
      <c r="D8" s="14" t="s">
        <v>15</v>
      </c>
      <c r="E8" s="14" t="s">
        <v>19</v>
      </c>
      <c r="F8" s="8"/>
      <c r="G8" s="16">
        <v>294.59316096747295</v>
      </c>
      <c r="H8" s="29">
        <v>1</v>
      </c>
      <c r="I8" s="29">
        <v>1</v>
      </c>
      <c r="J8" s="152">
        <f>365/7*5</f>
        <v>260.71428571428572</v>
      </c>
      <c r="K8" s="16">
        <f t="shared" si="0"/>
        <v>1.1299463708341428</v>
      </c>
      <c r="L8" s="8" t="s">
        <v>901</v>
      </c>
      <c r="M8" s="14" t="s">
        <v>902</v>
      </c>
    </row>
    <row r="9" spans="1:14" ht="22.5" x14ac:dyDescent="0.25">
      <c r="A9" s="7" t="s">
        <v>16</v>
      </c>
      <c r="B9" s="18">
        <v>6.2</v>
      </c>
      <c r="C9" s="7" t="s">
        <v>240</v>
      </c>
      <c r="D9" s="14" t="s">
        <v>15</v>
      </c>
      <c r="E9" s="14" t="s">
        <v>903</v>
      </c>
      <c r="F9" s="8"/>
      <c r="G9" s="16">
        <v>31.251042535446206</v>
      </c>
      <c r="H9" s="29">
        <v>1</v>
      </c>
      <c r="I9" s="29">
        <v>1</v>
      </c>
      <c r="J9" s="152">
        <f>365/84*2</f>
        <v>8.6904761904761898</v>
      </c>
      <c r="K9" s="16">
        <f t="shared" si="0"/>
        <v>3.5960103739417555</v>
      </c>
      <c r="L9" s="8" t="s">
        <v>904</v>
      </c>
      <c r="M9" s="33"/>
    </row>
    <row r="10" spans="1:14" ht="34.5" customHeight="1" x14ac:dyDescent="0.25">
      <c r="A10" s="7" t="s">
        <v>16</v>
      </c>
      <c r="B10" s="18">
        <v>6.1</v>
      </c>
      <c r="C10" s="7" t="s">
        <v>240</v>
      </c>
      <c r="D10" s="14" t="s">
        <v>15</v>
      </c>
      <c r="E10" s="14" t="s">
        <v>22</v>
      </c>
      <c r="F10" s="7" t="s">
        <v>28</v>
      </c>
      <c r="G10" s="16">
        <v>0.31339138405132905</v>
      </c>
      <c r="H10" s="29">
        <v>16</v>
      </c>
      <c r="I10" s="29">
        <v>1</v>
      </c>
      <c r="J10" s="152">
        <f>365/84*2</f>
        <v>8.6904761904761898</v>
      </c>
      <c r="K10" s="16">
        <f t="shared" si="0"/>
        <v>3.6061474329194029E-2</v>
      </c>
      <c r="L10" s="8" t="s">
        <v>905</v>
      </c>
      <c r="M10" s="14" t="s">
        <v>29</v>
      </c>
    </row>
    <row r="11" spans="1:14" x14ac:dyDescent="0.25">
      <c r="A11" s="7" t="s">
        <v>16</v>
      </c>
      <c r="B11" s="18">
        <v>6.1</v>
      </c>
      <c r="C11" s="7" t="s">
        <v>240</v>
      </c>
      <c r="D11" s="14" t="s">
        <v>15</v>
      </c>
      <c r="E11" s="14" t="s">
        <v>906</v>
      </c>
      <c r="F11" s="8" t="s">
        <v>28</v>
      </c>
      <c r="G11" s="16">
        <v>2.4314848762603121</v>
      </c>
      <c r="H11" s="29">
        <v>1</v>
      </c>
      <c r="I11" s="29">
        <v>1</v>
      </c>
      <c r="J11" s="152">
        <f>365/7</f>
        <v>52.142857142857146</v>
      </c>
      <c r="K11" s="16">
        <f t="shared" si="0"/>
        <v>4.6631216804992284E-2</v>
      </c>
      <c r="L11" s="8" t="s">
        <v>907</v>
      </c>
      <c r="M11" s="14" t="s">
        <v>908</v>
      </c>
    </row>
    <row r="12" spans="1:14" x14ac:dyDescent="0.25">
      <c r="A12" s="7" t="s">
        <v>16</v>
      </c>
      <c r="B12" s="18">
        <v>6.1</v>
      </c>
      <c r="C12" s="7" t="s">
        <v>240</v>
      </c>
      <c r="D12" s="14" t="s">
        <v>15</v>
      </c>
      <c r="E12" s="14" t="s">
        <v>23</v>
      </c>
      <c r="F12" s="7" t="s">
        <v>28</v>
      </c>
      <c r="G12" s="16">
        <v>4.3226397800183323</v>
      </c>
      <c r="H12" s="29">
        <v>10</v>
      </c>
      <c r="I12" s="29">
        <v>1</v>
      </c>
      <c r="J12" s="152">
        <f>365/7</f>
        <v>52.142857142857146</v>
      </c>
      <c r="K12" s="16">
        <f t="shared" si="0"/>
        <v>8.2899940986652945E-2</v>
      </c>
      <c r="L12" s="8" t="s">
        <v>909</v>
      </c>
      <c r="M12" s="128" t="s">
        <v>30</v>
      </c>
    </row>
    <row r="13" spans="1:14" x14ac:dyDescent="0.25">
      <c r="A13" s="7" t="s">
        <v>16</v>
      </c>
      <c r="B13" s="18">
        <v>6.1</v>
      </c>
      <c r="C13" s="7" t="s">
        <v>240</v>
      </c>
      <c r="D13" s="14" t="s">
        <v>15</v>
      </c>
      <c r="E13" s="14" t="s">
        <v>910</v>
      </c>
      <c r="F13" s="8" t="s">
        <v>28</v>
      </c>
      <c r="G13" s="16">
        <v>4.8629697525206241</v>
      </c>
      <c r="H13" s="29">
        <v>1</v>
      </c>
      <c r="I13" s="29">
        <v>1</v>
      </c>
      <c r="J13" s="152">
        <f>365/84*6</f>
        <v>26.071428571428569</v>
      </c>
      <c r="K13" s="16">
        <f t="shared" si="0"/>
        <v>0.18652486721996916</v>
      </c>
      <c r="L13" s="8" t="s">
        <v>911</v>
      </c>
      <c r="M13" s="14" t="s">
        <v>912</v>
      </c>
    </row>
    <row r="14" spans="1:14" ht="22.5" x14ac:dyDescent="0.25">
      <c r="A14" s="7" t="s">
        <v>16</v>
      </c>
      <c r="B14" s="18">
        <v>6.1</v>
      </c>
      <c r="C14" s="7" t="s">
        <v>240</v>
      </c>
      <c r="D14" s="14" t="s">
        <v>15</v>
      </c>
      <c r="E14" s="14" t="s">
        <v>913</v>
      </c>
      <c r="F14" s="8" t="s">
        <v>28</v>
      </c>
      <c r="G14" s="16">
        <v>4.8629697525206241</v>
      </c>
      <c r="H14" s="29">
        <v>1</v>
      </c>
      <c r="I14" s="29">
        <v>1</v>
      </c>
      <c r="J14" s="152">
        <f>365/84</f>
        <v>4.3452380952380949</v>
      </c>
      <c r="K14" s="16">
        <f t="shared" si="0"/>
        <v>1.1191492033198149</v>
      </c>
      <c r="L14" s="8" t="s">
        <v>914</v>
      </c>
      <c r="M14" s="14" t="s">
        <v>915</v>
      </c>
    </row>
    <row r="15" spans="1:14" ht="22.5" x14ac:dyDescent="0.25">
      <c r="A15" s="7" t="s">
        <v>16</v>
      </c>
      <c r="B15" s="14">
        <v>6.1</v>
      </c>
      <c r="C15" s="18" t="s">
        <v>240</v>
      </c>
      <c r="D15" s="26" t="s">
        <v>15</v>
      </c>
      <c r="E15" s="8" t="s">
        <v>25</v>
      </c>
      <c r="F15" s="7" t="s">
        <v>28</v>
      </c>
      <c r="G15" s="16">
        <v>3.5121448212648949</v>
      </c>
      <c r="H15" s="29">
        <v>1</v>
      </c>
      <c r="I15" s="156">
        <v>1</v>
      </c>
      <c r="J15" s="158">
        <f>365/7</f>
        <v>52.142857142857146</v>
      </c>
      <c r="K15" s="155">
        <f t="shared" si="0"/>
        <v>6.7356202051655517E-2</v>
      </c>
      <c r="L15" s="27" t="s">
        <v>916</v>
      </c>
      <c r="M15" s="14" t="s">
        <v>32</v>
      </c>
    </row>
    <row r="16" spans="1:14" ht="24.75" customHeight="1" x14ac:dyDescent="0.25">
      <c r="A16" s="7" t="s">
        <v>16</v>
      </c>
      <c r="B16" s="18">
        <v>6.1</v>
      </c>
      <c r="C16" s="7" t="s">
        <v>240</v>
      </c>
      <c r="D16" s="14" t="s">
        <v>15</v>
      </c>
      <c r="E16" s="7" t="s">
        <v>24</v>
      </c>
      <c r="F16" s="7" t="s">
        <v>28</v>
      </c>
      <c r="G16" s="16">
        <v>1.2427589367552705</v>
      </c>
      <c r="H16" s="29">
        <v>40</v>
      </c>
      <c r="I16" s="29">
        <v>1</v>
      </c>
      <c r="J16" s="152">
        <f>365/7*5</f>
        <v>260.71428571428572</v>
      </c>
      <c r="K16" s="16">
        <f t="shared" si="0"/>
        <v>4.7667466067325441E-3</v>
      </c>
      <c r="L16" s="8" t="s">
        <v>917</v>
      </c>
      <c r="M16" s="14" t="s">
        <v>31</v>
      </c>
    </row>
    <row r="17" spans="1:14" ht="117" customHeight="1" x14ac:dyDescent="0.25">
      <c r="A17" s="7" t="s">
        <v>16</v>
      </c>
      <c r="B17" s="18">
        <v>6.1</v>
      </c>
      <c r="C17" s="7" t="s">
        <v>240</v>
      </c>
      <c r="D17" s="14" t="s">
        <v>15</v>
      </c>
      <c r="E17" s="14" t="s">
        <v>26</v>
      </c>
      <c r="F17" s="7" t="s">
        <v>27</v>
      </c>
      <c r="G17" s="16">
        <v>9.7259395050412483</v>
      </c>
      <c r="H17" s="29">
        <v>1</v>
      </c>
      <c r="I17" s="29">
        <v>1</v>
      </c>
      <c r="J17" s="152">
        <f>365/7*2</f>
        <v>104.28571428571429</v>
      </c>
      <c r="K17" s="16">
        <f t="shared" si="0"/>
        <v>9.3262433609984569E-2</v>
      </c>
      <c r="L17" s="8" t="s">
        <v>918</v>
      </c>
      <c r="M17" s="14" t="s">
        <v>33</v>
      </c>
      <c r="N17" s="8"/>
    </row>
    <row r="18" spans="1:14" ht="36.75" customHeight="1" x14ac:dyDescent="0.25">
      <c r="A18" s="7" t="s">
        <v>16</v>
      </c>
      <c r="B18" s="18">
        <v>6.1</v>
      </c>
      <c r="C18" s="7" t="s">
        <v>240</v>
      </c>
      <c r="D18" s="14" t="s">
        <v>15</v>
      </c>
      <c r="E18" s="14" t="s">
        <v>919</v>
      </c>
      <c r="F18" s="8" t="s">
        <v>715</v>
      </c>
      <c r="G18" s="16">
        <v>4.3118331805682866</v>
      </c>
      <c r="H18" s="29">
        <v>1</v>
      </c>
      <c r="I18" s="29">
        <v>1</v>
      </c>
      <c r="J18" s="152">
        <f>365/7*10</f>
        <v>521.42857142857144</v>
      </c>
      <c r="K18" s="16">
        <f t="shared" si="0"/>
        <v>8.2692691134186314E-3</v>
      </c>
      <c r="L18" s="8" t="s">
        <v>920</v>
      </c>
      <c r="M18" s="50" t="s">
        <v>921</v>
      </c>
    </row>
    <row r="19" spans="1:14" ht="25.5" customHeight="1" x14ac:dyDescent="0.25">
      <c r="A19" s="14" t="s">
        <v>16</v>
      </c>
      <c r="B19" s="18">
        <v>6.1</v>
      </c>
      <c r="C19" s="7" t="s">
        <v>240</v>
      </c>
      <c r="D19" s="14" t="s">
        <v>15</v>
      </c>
      <c r="E19" s="14" t="s">
        <v>34</v>
      </c>
      <c r="F19" s="8" t="s">
        <v>36</v>
      </c>
      <c r="G19" s="16">
        <v>10.039330889092575</v>
      </c>
      <c r="H19" s="29">
        <v>5</v>
      </c>
      <c r="I19" s="29">
        <v>1</v>
      </c>
      <c r="J19" s="152">
        <v>5</v>
      </c>
      <c r="K19" s="15">
        <f t="shared" si="0"/>
        <v>2.007866177818515</v>
      </c>
      <c r="L19" s="8" t="s">
        <v>38</v>
      </c>
      <c r="M19" s="135" t="s">
        <v>37</v>
      </c>
      <c r="N19" s="8"/>
    </row>
    <row r="21" spans="1:14" ht="33.75" x14ac:dyDescent="0.25">
      <c r="E21" s="4" t="s">
        <v>1300</v>
      </c>
      <c r="F21" s="90">
        <f>SUM(K5:K19)</f>
        <v>11.402187766856636</v>
      </c>
    </row>
    <row r="35" ht="57" customHeight="1" x14ac:dyDescent="0.25"/>
    <row r="45" ht="50.25" customHeight="1" x14ac:dyDescent="0.25"/>
    <row r="51" ht="30.75" customHeight="1" x14ac:dyDescent="0.25"/>
  </sheetData>
  <pageMargins left="0.7" right="0.7" top="0.75" bottom="0.75" header="0.3" footer="0.3"/>
  <pageSetup paperSize="9" scale="77"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9E9756-DC4F-4D37-8792-B51A61E45F1F}">
  <dimension ref="A1:N49"/>
  <sheetViews>
    <sheetView view="pageBreakPreview" zoomScale="115" zoomScaleNormal="115" zoomScaleSheetLayoutView="115" workbookViewId="0"/>
  </sheetViews>
  <sheetFormatPr defaultRowHeight="15" x14ac:dyDescent="0.25"/>
  <cols>
    <col min="1" max="1" width="8" customWidth="1"/>
    <col min="2" max="2" width="6.7109375" customWidth="1"/>
    <col min="3" max="3" width="5.85546875" customWidth="1"/>
    <col min="4" max="4" width="14.28515625" customWidth="1"/>
    <col min="6" max="6" width="10.42578125" customWidth="1"/>
    <col min="12" max="12" width="22.140625" customWidth="1"/>
    <col min="13" max="13" width="20.140625" customWidth="1"/>
  </cols>
  <sheetData>
    <row r="1" spans="1:14" x14ac:dyDescent="0.25">
      <c r="A1" s="138" t="s">
        <v>1318</v>
      </c>
      <c r="B1" s="28"/>
      <c r="G1" s="123"/>
      <c r="H1" s="123"/>
      <c r="I1" s="123"/>
      <c r="J1" s="123"/>
      <c r="K1" s="136"/>
      <c r="L1" s="110"/>
      <c r="M1" s="110"/>
    </row>
    <row r="2" spans="1:14" x14ac:dyDescent="0.25">
      <c r="A2" s="28" t="s">
        <v>820</v>
      </c>
      <c r="B2" s="28"/>
      <c r="G2" s="123"/>
      <c r="H2" s="123"/>
      <c r="I2" s="123"/>
      <c r="J2" s="123"/>
      <c r="K2" s="123"/>
      <c r="N2" s="111"/>
    </row>
    <row r="3" spans="1:14" x14ac:dyDescent="0.25">
      <c r="A3" s="9" t="s">
        <v>1260</v>
      </c>
      <c r="B3" s="28"/>
      <c r="G3" s="123"/>
      <c r="H3" s="123"/>
      <c r="I3" s="123"/>
      <c r="J3" s="123"/>
      <c r="K3" s="123"/>
      <c r="N3" s="111"/>
    </row>
    <row r="4" spans="1:14" ht="22.5" x14ac:dyDescent="0.25">
      <c r="A4" s="11" t="s">
        <v>0</v>
      </c>
      <c r="B4" s="11" t="s">
        <v>1</v>
      </c>
      <c r="C4" s="11" t="s">
        <v>2</v>
      </c>
      <c r="D4" s="12" t="s">
        <v>3</v>
      </c>
      <c r="E4" s="12" t="s">
        <v>4</v>
      </c>
      <c r="F4" s="12" t="s">
        <v>6</v>
      </c>
      <c r="G4" s="13" t="s">
        <v>7</v>
      </c>
      <c r="H4" s="13" t="s">
        <v>8</v>
      </c>
      <c r="I4" s="12" t="s">
        <v>9</v>
      </c>
      <c r="J4" s="12" t="s">
        <v>10</v>
      </c>
      <c r="K4" s="13" t="s">
        <v>53</v>
      </c>
      <c r="L4" s="13" t="s">
        <v>12</v>
      </c>
      <c r="M4" s="12" t="s">
        <v>13</v>
      </c>
    </row>
    <row r="5" spans="1:14" ht="22.5" x14ac:dyDescent="0.25">
      <c r="A5" s="18" t="s">
        <v>824</v>
      </c>
      <c r="B5" s="18">
        <v>7.3</v>
      </c>
      <c r="C5" s="18" t="s">
        <v>240</v>
      </c>
      <c r="D5" s="8" t="s">
        <v>821</v>
      </c>
      <c r="E5" s="18" t="s">
        <v>822</v>
      </c>
      <c r="F5" s="18"/>
      <c r="G5" s="16">
        <v>10.458919319022948</v>
      </c>
      <c r="H5" s="29">
        <v>1</v>
      </c>
      <c r="I5" s="29">
        <v>1</v>
      </c>
      <c r="J5" s="152">
        <v>1</v>
      </c>
      <c r="K5" s="16">
        <f>G5*I5/J5</f>
        <v>10.458919319022948</v>
      </c>
      <c r="L5" s="14" t="s">
        <v>825</v>
      </c>
      <c r="M5" s="18"/>
    </row>
    <row r="6" spans="1:14" ht="26.25" customHeight="1" x14ac:dyDescent="0.25">
      <c r="A6" s="18" t="s">
        <v>824</v>
      </c>
      <c r="B6" s="18">
        <v>7.3</v>
      </c>
      <c r="C6" s="18" t="s">
        <v>240</v>
      </c>
      <c r="D6" s="8" t="s">
        <v>826</v>
      </c>
      <c r="E6" s="18" t="s">
        <v>823</v>
      </c>
      <c r="F6" s="18"/>
      <c r="G6" s="16">
        <v>104.58919319022948</v>
      </c>
      <c r="H6" s="29">
        <v>1</v>
      </c>
      <c r="I6" s="29">
        <v>1</v>
      </c>
      <c r="J6" s="152">
        <f>365/7</f>
        <v>52.142857142857146</v>
      </c>
      <c r="K6" s="16">
        <f>G6*I6/J6</f>
        <v>2.005820143374264</v>
      </c>
      <c r="L6" s="14" t="s">
        <v>827</v>
      </c>
      <c r="M6" s="18"/>
    </row>
    <row r="7" spans="1:14" ht="25.5" customHeight="1" x14ac:dyDescent="0.25">
      <c r="A7" s="18" t="s">
        <v>824</v>
      </c>
      <c r="B7" s="18">
        <v>7.3</v>
      </c>
      <c r="C7" s="18" t="s">
        <v>240</v>
      </c>
      <c r="D7" s="8" t="s">
        <v>826</v>
      </c>
      <c r="E7" s="26" t="s">
        <v>828</v>
      </c>
      <c r="F7" s="58"/>
      <c r="G7" s="16">
        <v>0</v>
      </c>
      <c r="H7" s="167"/>
      <c r="I7" s="168"/>
      <c r="J7" s="169"/>
      <c r="K7" s="167"/>
      <c r="L7" s="27" t="s">
        <v>829</v>
      </c>
      <c r="M7" s="58"/>
    </row>
    <row r="8" spans="1:14" ht="27.75" customHeight="1" x14ac:dyDescent="0.25">
      <c r="A8" s="18" t="s">
        <v>824</v>
      </c>
      <c r="B8" s="18">
        <v>7.3</v>
      </c>
      <c r="C8" s="18" t="s">
        <v>240</v>
      </c>
      <c r="D8" s="8" t="s">
        <v>826</v>
      </c>
      <c r="E8" s="18" t="s">
        <v>830</v>
      </c>
      <c r="F8" s="18" t="s">
        <v>831</v>
      </c>
      <c r="G8" s="16">
        <v>73.212435233160633</v>
      </c>
      <c r="H8" s="29">
        <v>1</v>
      </c>
      <c r="I8" s="29">
        <v>1</v>
      </c>
      <c r="J8" s="152">
        <f>365/7*3</f>
        <v>156.42857142857144</v>
      </c>
      <c r="K8" s="16">
        <f>G8*I8/J8</f>
        <v>0.46802470012066155</v>
      </c>
      <c r="L8" s="14" t="s">
        <v>832</v>
      </c>
      <c r="M8" s="18" t="s">
        <v>833</v>
      </c>
    </row>
    <row r="9" spans="1:14" x14ac:dyDescent="0.25">
      <c r="G9" s="123"/>
      <c r="H9" s="123"/>
      <c r="I9" s="123"/>
      <c r="J9" s="123"/>
      <c r="K9" s="123"/>
    </row>
    <row r="10" spans="1:14" ht="23.25" x14ac:dyDescent="0.25">
      <c r="D10" s="146" t="s">
        <v>1303</v>
      </c>
      <c r="E10" s="90">
        <f>SUM(K5:K8)</f>
        <v>12.932764162517874</v>
      </c>
    </row>
    <row r="19" spans="7:7" x14ac:dyDescent="0.25">
      <c r="G19" s="59"/>
    </row>
    <row r="20" spans="7:7" x14ac:dyDescent="0.25">
      <c r="G20" s="59"/>
    </row>
    <row r="21" spans="7:7" x14ac:dyDescent="0.25">
      <c r="G21" s="59"/>
    </row>
    <row r="22" spans="7:7" x14ac:dyDescent="0.25">
      <c r="G22" s="59"/>
    </row>
    <row r="23" spans="7:7" x14ac:dyDescent="0.25">
      <c r="G23" s="59"/>
    </row>
    <row r="24" spans="7:7" x14ac:dyDescent="0.25">
      <c r="G24" s="59"/>
    </row>
    <row r="25" spans="7:7" x14ac:dyDescent="0.25">
      <c r="G25" s="59"/>
    </row>
    <row r="26" spans="7:7" x14ac:dyDescent="0.25">
      <c r="G26" s="59"/>
    </row>
    <row r="27" spans="7:7" x14ac:dyDescent="0.25">
      <c r="G27" s="59"/>
    </row>
    <row r="28" spans="7:7" x14ac:dyDescent="0.25">
      <c r="G28" s="59"/>
    </row>
    <row r="29" spans="7:7" x14ac:dyDescent="0.25">
      <c r="G29" s="59"/>
    </row>
    <row r="30" spans="7:7" x14ac:dyDescent="0.25">
      <c r="G30" s="59"/>
    </row>
    <row r="31" spans="7:7" x14ac:dyDescent="0.25">
      <c r="G31" s="59"/>
    </row>
    <row r="32" spans="7:7" x14ac:dyDescent="0.25">
      <c r="G32" s="59"/>
    </row>
    <row r="33" spans="7:7" x14ac:dyDescent="0.25">
      <c r="G33" s="59"/>
    </row>
    <row r="34" spans="7:7" x14ac:dyDescent="0.25">
      <c r="G34" s="59"/>
    </row>
    <row r="35" spans="7:7" x14ac:dyDescent="0.25">
      <c r="G35" s="59"/>
    </row>
    <row r="36" spans="7:7" x14ac:dyDescent="0.25">
      <c r="G36" s="59"/>
    </row>
    <row r="37" spans="7:7" x14ac:dyDescent="0.25">
      <c r="G37" s="59"/>
    </row>
    <row r="38" spans="7:7" x14ac:dyDescent="0.25">
      <c r="G38" s="59"/>
    </row>
    <row r="39" spans="7:7" x14ac:dyDescent="0.25">
      <c r="G39" s="59"/>
    </row>
    <row r="40" spans="7:7" x14ac:dyDescent="0.25">
      <c r="G40" s="59"/>
    </row>
    <row r="41" spans="7:7" x14ac:dyDescent="0.25">
      <c r="G41" s="59"/>
    </row>
    <row r="42" spans="7:7" x14ac:dyDescent="0.25">
      <c r="G42" s="59"/>
    </row>
    <row r="43" spans="7:7" x14ac:dyDescent="0.25">
      <c r="G43" s="59"/>
    </row>
    <row r="44" spans="7:7" x14ac:dyDescent="0.25">
      <c r="G44" s="59"/>
    </row>
    <row r="45" spans="7:7" x14ac:dyDescent="0.25">
      <c r="G45" s="59"/>
    </row>
    <row r="46" spans="7:7" x14ac:dyDescent="0.25">
      <c r="G46" s="59"/>
    </row>
    <row r="47" spans="7:7" x14ac:dyDescent="0.25">
      <c r="G47" s="59"/>
    </row>
    <row r="48" spans="7:7" x14ac:dyDescent="0.25">
      <c r="G48" s="59"/>
    </row>
    <row r="49" spans="7:7" x14ac:dyDescent="0.25">
      <c r="G49" s="59"/>
    </row>
  </sheetData>
  <pageMargins left="0.7" right="0.7" top="0.75" bottom="0.75" header="0.3" footer="0.3"/>
  <pageSetup paperSize="9" scale="8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BDD103-0CBD-4A32-8621-44ECDF31BD9D}">
  <dimension ref="A1:M15"/>
  <sheetViews>
    <sheetView view="pageBreakPreview" zoomScaleNormal="80" zoomScaleSheetLayoutView="100" workbookViewId="0"/>
  </sheetViews>
  <sheetFormatPr defaultRowHeight="15" x14ac:dyDescent="0.25"/>
  <cols>
    <col min="1" max="1" width="5.7109375" customWidth="1"/>
    <col min="2" max="2" width="7.140625" customWidth="1"/>
    <col min="3" max="3" width="6.28515625" customWidth="1"/>
    <col min="4" max="4" width="15.28515625" customWidth="1"/>
    <col min="5" max="5" width="11.5703125" customWidth="1"/>
    <col min="6" max="6" width="8.28515625" customWidth="1"/>
    <col min="7" max="7" width="6.140625" style="123" customWidth="1"/>
    <col min="8" max="8" width="5.7109375" style="123" customWidth="1"/>
    <col min="9" max="9" width="7.7109375" style="123" customWidth="1"/>
    <col min="10" max="10" width="8.5703125" style="123" customWidth="1"/>
    <col min="11" max="11" width="7.5703125" style="123" customWidth="1"/>
    <col min="12" max="12" width="30.5703125" customWidth="1"/>
    <col min="13" max="13" width="24.7109375" customWidth="1"/>
    <col min="14" max="14" width="27.5703125" customWidth="1"/>
  </cols>
  <sheetData>
    <row r="1" spans="1:13" x14ac:dyDescent="0.25">
      <c r="A1" s="138" t="s">
        <v>1318</v>
      </c>
      <c r="B1" s="60"/>
      <c r="C1" s="18"/>
      <c r="D1" s="18"/>
    </row>
    <row r="2" spans="1:13" x14ac:dyDescent="0.25">
      <c r="A2" s="28" t="s">
        <v>834</v>
      </c>
      <c r="B2" s="60"/>
      <c r="C2" s="28"/>
      <c r="D2" s="4"/>
    </row>
    <row r="3" spans="1:13" x14ac:dyDescent="0.25">
      <c r="A3" s="9" t="s">
        <v>1260</v>
      </c>
      <c r="B3" s="61"/>
      <c r="C3" s="1"/>
      <c r="D3" s="1"/>
    </row>
    <row r="4" spans="1:13" ht="33.75" x14ac:dyDescent="0.25">
      <c r="A4" s="10" t="s">
        <v>0</v>
      </c>
      <c r="B4" s="10" t="s">
        <v>1</v>
      </c>
      <c r="C4" s="10" t="s">
        <v>2</v>
      </c>
      <c r="D4" s="10" t="s">
        <v>3</v>
      </c>
      <c r="E4" s="10" t="s">
        <v>4</v>
      </c>
      <c r="F4" s="10" t="s">
        <v>6</v>
      </c>
      <c r="G4" s="25" t="s">
        <v>7</v>
      </c>
      <c r="H4" s="25" t="s">
        <v>8</v>
      </c>
      <c r="I4" s="10" t="s">
        <v>9</v>
      </c>
      <c r="J4" s="10" t="s">
        <v>10</v>
      </c>
      <c r="K4" s="25" t="s">
        <v>53</v>
      </c>
      <c r="L4" s="25" t="s">
        <v>12</v>
      </c>
      <c r="M4" s="10" t="s">
        <v>13</v>
      </c>
    </row>
    <row r="5" spans="1:13" ht="56.25" x14ac:dyDescent="0.25">
      <c r="A5" s="18" t="s">
        <v>835</v>
      </c>
      <c r="B5" s="18">
        <v>9.1</v>
      </c>
      <c r="C5" s="18" t="s">
        <v>240</v>
      </c>
      <c r="D5" s="2" t="s">
        <v>836</v>
      </c>
      <c r="E5" s="14" t="s">
        <v>837</v>
      </c>
      <c r="F5" s="14" t="s">
        <v>457</v>
      </c>
      <c r="G5" s="16">
        <v>275.86808510638298</v>
      </c>
      <c r="H5" s="29">
        <v>1</v>
      </c>
      <c r="I5" s="29">
        <v>1</v>
      </c>
      <c r="J5" s="152">
        <f>365/7*10</f>
        <v>521.42857142857144</v>
      </c>
      <c r="K5" s="16">
        <f t="shared" ref="K5:K13" si="0">G5*I5/J5</f>
        <v>0.52906208102593999</v>
      </c>
      <c r="L5" s="14" t="s">
        <v>1238</v>
      </c>
      <c r="M5" s="14" t="s">
        <v>847</v>
      </c>
    </row>
    <row r="6" spans="1:13" ht="56.25" x14ac:dyDescent="0.25">
      <c r="A6" s="18" t="s">
        <v>835</v>
      </c>
      <c r="B6" s="18">
        <v>9.1</v>
      </c>
      <c r="C6" s="18" t="s">
        <v>240</v>
      </c>
      <c r="D6" s="8" t="s">
        <v>836</v>
      </c>
      <c r="E6" s="14" t="s">
        <v>848</v>
      </c>
      <c r="F6" s="14" t="s">
        <v>249</v>
      </c>
      <c r="G6" s="16">
        <v>41.011021276595748</v>
      </c>
      <c r="H6" s="29">
        <v>1</v>
      </c>
      <c r="I6" s="29">
        <v>1</v>
      </c>
      <c r="J6" s="152">
        <f>365/7*10</f>
        <v>521.42857142857144</v>
      </c>
      <c r="K6" s="16">
        <f t="shared" si="0"/>
        <v>7.8651273681142525E-2</v>
      </c>
      <c r="L6" s="14" t="s">
        <v>849</v>
      </c>
      <c r="M6" s="62" t="s">
        <v>850</v>
      </c>
    </row>
    <row r="7" spans="1:13" ht="45" x14ac:dyDescent="0.25">
      <c r="A7" s="8" t="s">
        <v>835</v>
      </c>
      <c r="B7" s="14">
        <v>9.1</v>
      </c>
      <c r="C7" s="18" t="s">
        <v>240</v>
      </c>
      <c r="D7" s="8" t="s">
        <v>836</v>
      </c>
      <c r="E7" s="8" t="s">
        <v>838</v>
      </c>
      <c r="F7" s="18" t="s">
        <v>457</v>
      </c>
      <c r="G7" s="16">
        <v>255.35744680851064</v>
      </c>
      <c r="H7" s="29">
        <v>1</v>
      </c>
      <c r="I7" s="29">
        <v>1</v>
      </c>
      <c r="J7" s="152">
        <f>365/7*5</f>
        <v>260.71428571428572</v>
      </c>
      <c r="K7" s="155">
        <f t="shared" si="0"/>
        <v>0.97945322063538331</v>
      </c>
      <c r="L7" s="14" t="s">
        <v>851</v>
      </c>
      <c r="M7" s="14" t="s">
        <v>839</v>
      </c>
    </row>
    <row r="8" spans="1:13" ht="45" x14ac:dyDescent="0.25">
      <c r="A8" s="8" t="s">
        <v>835</v>
      </c>
      <c r="B8" s="14">
        <v>9.3000000000000007</v>
      </c>
      <c r="C8" s="18" t="s">
        <v>240</v>
      </c>
      <c r="D8" s="8" t="s">
        <v>852</v>
      </c>
      <c r="E8" s="8" t="s">
        <v>841</v>
      </c>
      <c r="F8" s="14"/>
      <c r="G8" s="16">
        <v>53.391304347826086</v>
      </c>
      <c r="H8" s="29">
        <v>1</v>
      </c>
      <c r="I8" s="29">
        <v>1</v>
      </c>
      <c r="J8" s="152">
        <f>365/7</f>
        <v>52.142857142857146</v>
      </c>
      <c r="K8" s="16">
        <f t="shared" si="0"/>
        <v>1.0239428231089933</v>
      </c>
      <c r="L8" s="14" t="s">
        <v>853</v>
      </c>
      <c r="M8" s="14"/>
    </row>
    <row r="9" spans="1:13" ht="56.25" x14ac:dyDescent="0.25">
      <c r="A9" s="18" t="s">
        <v>835</v>
      </c>
      <c r="B9" s="18">
        <v>9.3000000000000007</v>
      </c>
      <c r="C9" s="18" t="s">
        <v>240</v>
      </c>
      <c r="D9" s="8" t="s">
        <v>840</v>
      </c>
      <c r="E9" s="8" t="s">
        <v>841</v>
      </c>
      <c r="F9" s="14"/>
      <c r="G9" s="16">
        <v>277.63478260869562</v>
      </c>
      <c r="H9" s="29">
        <v>12</v>
      </c>
      <c r="I9" s="29">
        <v>1</v>
      </c>
      <c r="J9" s="152">
        <f>365/7</f>
        <v>52.142857142857146</v>
      </c>
      <c r="K9" s="16">
        <f t="shared" si="0"/>
        <v>5.3245026801667645</v>
      </c>
      <c r="L9" s="14" t="s">
        <v>1239</v>
      </c>
      <c r="M9" s="14"/>
    </row>
    <row r="10" spans="1:13" ht="56.25" x14ac:dyDescent="0.25">
      <c r="A10" s="8" t="s">
        <v>835</v>
      </c>
      <c r="B10" s="14">
        <v>9.3000000000000007</v>
      </c>
      <c r="C10" s="18" t="s">
        <v>240</v>
      </c>
      <c r="D10" s="8" t="s">
        <v>842</v>
      </c>
      <c r="E10" s="8" t="s">
        <v>841</v>
      </c>
      <c r="F10" s="14"/>
      <c r="G10" s="16">
        <v>256.2782608695652</v>
      </c>
      <c r="H10" s="29">
        <v>12</v>
      </c>
      <c r="I10" s="29">
        <v>1</v>
      </c>
      <c r="J10" s="152">
        <f>365/7</f>
        <v>52.142857142857146</v>
      </c>
      <c r="K10" s="16">
        <f t="shared" si="0"/>
        <v>4.9149255509231677</v>
      </c>
      <c r="L10" s="14" t="s">
        <v>1240</v>
      </c>
      <c r="M10" s="33"/>
    </row>
    <row r="11" spans="1:13" x14ac:dyDescent="0.25">
      <c r="A11" s="8" t="s">
        <v>835</v>
      </c>
      <c r="B11" s="14">
        <v>9.3000000000000007</v>
      </c>
      <c r="C11" s="18" t="s">
        <v>240</v>
      </c>
      <c r="D11" s="8" t="s">
        <v>845</v>
      </c>
      <c r="E11" s="14" t="s">
        <v>846</v>
      </c>
      <c r="F11" s="18"/>
      <c r="G11" s="16">
        <v>53.391304347826086</v>
      </c>
      <c r="H11" s="29">
        <v>1</v>
      </c>
      <c r="I11" s="29">
        <v>1</v>
      </c>
      <c r="J11" s="152">
        <f>365/7</f>
        <v>52.142857142857146</v>
      </c>
      <c r="K11" s="16">
        <f t="shared" si="0"/>
        <v>1.0239428231089933</v>
      </c>
      <c r="L11" s="14" t="s">
        <v>854</v>
      </c>
      <c r="M11" s="33"/>
    </row>
    <row r="12" spans="1:13" ht="45" x14ac:dyDescent="0.25">
      <c r="A12" s="8" t="s">
        <v>835</v>
      </c>
      <c r="B12" s="14">
        <v>9.3000000000000007</v>
      </c>
      <c r="C12" s="18" t="s">
        <v>240</v>
      </c>
      <c r="D12" s="8" t="s">
        <v>855</v>
      </c>
      <c r="E12" s="8" t="s">
        <v>843</v>
      </c>
      <c r="F12" s="14"/>
      <c r="G12" s="16">
        <v>53.391304347826086</v>
      </c>
      <c r="H12" s="29">
        <v>1</v>
      </c>
      <c r="I12" s="29">
        <v>1</v>
      </c>
      <c r="J12" s="152">
        <f>365/7*10</f>
        <v>521.42857142857144</v>
      </c>
      <c r="K12" s="155">
        <f t="shared" si="0"/>
        <v>0.10239428231089934</v>
      </c>
      <c r="L12" s="14" t="s">
        <v>856</v>
      </c>
      <c r="M12" s="14"/>
    </row>
    <row r="13" spans="1:13" ht="22.5" x14ac:dyDescent="0.25">
      <c r="A13" s="8" t="s">
        <v>835</v>
      </c>
      <c r="B13" s="14">
        <v>9.5</v>
      </c>
      <c r="C13" s="18" t="s">
        <v>240</v>
      </c>
      <c r="D13" s="8" t="s">
        <v>857</v>
      </c>
      <c r="E13" s="8" t="s">
        <v>844</v>
      </c>
      <c r="F13" s="14"/>
      <c r="G13" s="16">
        <v>16.718995290423862</v>
      </c>
      <c r="H13" s="29">
        <v>1</v>
      </c>
      <c r="I13" s="29">
        <v>1</v>
      </c>
      <c r="J13" s="152">
        <f>365/7</f>
        <v>52.142857142857146</v>
      </c>
      <c r="K13" s="16">
        <f t="shared" si="0"/>
        <v>0.32063826584374527</v>
      </c>
      <c r="L13" s="14" t="s">
        <v>858</v>
      </c>
      <c r="M13" s="14"/>
    </row>
    <row r="15" spans="1:13" x14ac:dyDescent="0.25">
      <c r="D15" s="142" t="s">
        <v>1305</v>
      </c>
      <c r="E15" s="141">
        <f>SUM(K5:K13)</f>
        <v>14.297513000805029</v>
      </c>
    </row>
  </sheetData>
  <pageMargins left="0.7" right="0.7" top="0.75" bottom="0.75" header="0.3" footer="0.3"/>
  <pageSetup paperSize="9" scale="8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15E7E-0ECD-4FE0-99D5-B598DB63D263}">
  <dimension ref="A1:M17"/>
  <sheetViews>
    <sheetView tabSelected="1" view="pageBreakPreview" zoomScaleNormal="70" zoomScaleSheetLayoutView="100" workbookViewId="0"/>
  </sheetViews>
  <sheetFormatPr defaultRowHeight="15" x14ac:dyDescent="0.25"/>
  <cols>
    <col min="1" max="1" width="5.85546875" customWidth="1"/>
    <col min="2" max="2" width="7.42578125" customWidth="1"/>
    <col min="3" max="3" width="5" customWidth="1"/>
    <col min="4" max="4" width="16.7109375" customWidth="1"/>
    <col min="5" max="5" width="12.140625" customWidth="1"/>
    <col min="6" max="6" width="14.28515625" customWidth="1"/>
    <col min="7" max="7" width="6.28515625" customWidth="1"/>
    <col min="8" max="8" width="5.7109375" customWidth="1"/>
    <col min="9" max="9" width="7.7109375" customWidth="1"/>
    <col min="10" max="10" width="8.140625" customWidth="1"/>
    <col min="11" max="11" width="7" customWidth="1"/>
    <col min="12" max="12" width="30.7109375" customWidth="1"/>
    <col min="13" max="13" width="35.28515625" customWidth="1"/>
  </cols>
  <sheetData>
    <row r="1" spans="1:13" x14ac:dyDescent="0.25">
      <c r="A1" s="138" t="s">
        <v>1318</v>
      </c>
      <c r="B1" s="28"/>
      <c r="C1" s="18"/>
    </row>
    <row r="2" spans="1:13" x14ac:dyDescent="0.25">
      <c r="A2" s="28" t="s">
        <v>834</v>
      </c>
      <c r="B2" s="28"/>
      <c r="C2" s="28"/>
    </row>
    <row r="3" spans="1:13" x14ac:dyDescent="0.25">
      <c r="A3" s="28" t="s">
        <v>1260</v>
      </c>
      <c r="B3" s="28"/>
      <c r="C3" s="28"/>
    </row>
    <row r="4" spans="1:13" ht="22.5" x14ac:dyDescent="0.25">
      <c r="A4" s="12" t="s">
        <v>0</v>
      </c>
      <c r="B4" s="12" t="s">
        <v>1</v>
      </c>
      <c r="C4" s="12" t="s">
        <v>2</v>
      </c>
      <c r="D4" s="12" t="s">
        <v>3</v>
      </c>
      <c r="E4" s="12" t="s">
        <v>4</v>
      </c>
      <c r="F4" s="12" t="s">
        <v>6</v>
      </c>
      <c r="G4" s="13" t="s">
        <v>7</v>
      </c>
      <c r="H4" s="13" t="s">
        <v>8</v>
      </c>
      <c r="I4" s="12" t="s">
        <v>9</v>
      </c>
      <c r="J4" s="12" t="s">
        <v>10</v>
      </c>
      <c r="K4" s="13" t="s">
        <v>53</v>
      </c>
      <c r="L4" s="13" t="s">
        <v>12</v>
      </c>
      <c r="M4" s="12" t="s">
        <v>13</v>
      </c>
    </row>
    <row r="5" spans="1:13" ht="39.75" customHeight="1" x14ac:dyDescent="0.25">
      <c r="A5" s="18" t="s">
        <v>43</v>
      </c>
      <c r="B5" s="18">
        <v>9.4</v>
      </c>
      <c r="C5" s="1" t="s">
        <v>240</v>
      </c>
      <c r="D5" s="18" t="s">
        <v>859</v>
      </c>
      <c r="E5" s="18" t="s">
        <v>859</v>
      </c>
      <c r="F5" s="18" t="s">
        <v>860</v>
      </c>
      <c r="G5" s="20">
        <v>159</v>
      </c>
      <c r="H5" s="19">
        <v>1</v>
      </c>
      <c r="I5" s="21">
        <v>1</v>
      </c>
      <c r="J5" s="21">
        <f>365/7</f>
        <v>52.142857142857146</v>
      </c>
      <c r="K5" s="170">
        <f>G5*I5/J5</f>
        <v>3.0493150684931507</v>
      </c>
      <c r="L5" s="18"/>
      <c r="M5" s="14" t="s">
        <v>861</v>
      </c>
    </row>
    <row r="6" spans="1:13" ht="67.5" x14ac:dyDescent="0.25">
      <c r="A6" s="1" t="s">
        <v>862</v>
      </c>
      <c r="B6" s="1">
        <v>8.3000000000000007</v>
      </c>
      <c r="C6" s="24" t="s">
        <v>240</v>
      </c>
      <c r="D6" s="1" t="s">
        <v>875</v>
      </c>
      <c r="E6" s="1" t="s">
        <v>863</v>
      </c>
      <c r="F6" s="8" t="s">
        <v>50</v>
      </c>
      <c r="G6" s="170">
        <v>0</v>
      </c>
      <c r="H6" s="7">
        <v>1</v>
      </c>
      <c r="I6" s="7">
        <v>1</v>
      </c>
      <c r="J6" s="171">
        <v>0</v>
      </c>
      <c r="K6" s="170">
        <v>0</v>
      </c>
      <c r="L6" s="8" t="s">
        <v>876</v>
      </c>
      <c r="M6" s="22" t="s">
        <v>864</v>
      </c>
    </row>
    <row r="7" spans="1:13" ht="51" customHeight="1" x14ac:dyDescent="0.25">
      <c r="A7" s="2" t="s">
        <v>862</v>
      </c>
      <c r="B7" s="4">
        <v>9.4</v>
      </c>
      <c r="C7" s="18" t="s">
        <v>240</v>
      </c>
      <c r="D7" s="2" t="s">
        <v>877</v>
      </c>
      <c r="E7" s="8" t="s">
        <v>866</v>
      </c>
      <c r="F7" s="8" t="s">
        <v>867</v>
      </c>
      <c r="G7" s="20">
        <v>7.2114541023558081</v>
      </c>
      <c r="H7" s="7">
        <v>1</v>
      </c>
      <c r="I7" s="7">
        <v>1</v>
      </c>
      <c r="J7" s="171">
        <f>365/84*1</f>
        <v>4.3452380952380949</v>
      </c>
      <c r="K7" s="170">
        <f t="shared" ref="K7:K12" si="0">G7*I7/J7</f>
        <v>1.6596223139668163</v>
      </c>
      <c r="L7" s="63" t="s">
        <v>1241</v>
      </c>
      <c r="M7" s="22" t="s">
        <v>868</v>
      </c>
    </row>
    <row r="8" spans="1:13" ht="67.5" x14ac:dyDescent="0.25">
      <c r="A8" s="19" t="s">
        <v>862</v>
      </c>
      <c r="B8" s="1">
        <v>9.4</v>
      </c>
      <c r="C8" s="24" t="s">
        <v>240</v>
      </c>
      <c r="D8" s="19" t="s">
        <v>865</v>
      </c>
      <c r="E8" s="19" t="s">
        <v>869</v>
      </c>
      <c r="F8" s="1"/>
      <c r="G8" s="20">
        <v>20.633631194151096</v>
      </c>
      <c r="H8" s="40">
        <v>1</v>
      </c>
      <c r="I8" s="40">
        <v>1</v>
      </c>
      <c r="J8" s="172">
        <v>1</v>
      </c>
      <c r="K8" s="170">
        <f t="shared" si="0"/>
        <v>20.633631194151096</v>
      </c>
      <c r="L8" s="1" t="s">
        <v>878</v>
      </c>
      <c r="M8" s="3"/>
    </row>
    <row r="9" spans="1:13" ht="45" x14ac:dyDescent="0.25">
      <c r="A9" s="24" t="s">
        <v>870</v>
      </c>
      <c r="B9" s="24">
        <v>9.6</v>
      </c>
      <c r="C9" s="24" t="s">
        <v>240</v>
      </c>
      <c r="D9" s="24" t="s">
        <v>879</v>
      </c>
      <c r="E9" s="1" t="s">
        <v>879</v>
      </c>
      <c r="F9" s="1" t="s">
        <v>880</v>
      </c>
      <c r="G9" s="64">
        <v>502.39933444259572</v>
      </c>
      <c r="H9" s="40">
        <v>1</v>
      </c>
      <c r="I9" s="40">
        <v>1</v>
      </c>
      <c r="J9" s="172">
        <f>365/7</f>
        <v>52.142857142857146</v>
      </c>
      <c r="K9" s="170">
        <f t="shared" si="0"/>
        <v>9.6350557290360825</v>
      </c>
      <c r="L9" s="1" t="s">
        <v>881</v>
      </c>
      <c r="M9" s="26" t="s">
        <v>882</v>
      </c>
    </row>
    <row r="10" spans="1:13" ht="33.75" x14ac:dyDescent="0.25">
      <c r="A10" s="18" t="s">
        <v>870</v>
      </c>
      <c r="B10" s="18">
        <v>9.4</v>
      </c>
      <c r="C10" s="24" t="s">
        <v>240</v>
      </c>
      <c r="D10" s="8" t="s">
        <v>871</v>
      </c>
      <c r="E10" s="8" t="s">
        <v>872</v>
      </c>
      <c r="F10" s="14"/>
      <c r="G10" s="20">
        <v>103.16815597075548</v>
      </c>
      <c r="H10" s="7"/>
      <c r="I10" s="7">
        <v>1</v>
      </c>
      <c r="J10" s="171">
        <f>365/7</f>
        <v>52.142857142857146</v>
      </c>
      <c r="K10" s="170">
        <f t="shared" si="0"/>
        <v>1.9785673747816117</v>
      </c>
      <c r="L10" s="14" t="s">
        <v>883</v>
      </c>
      <c r="M10" s="33"/>
    </row>
    <row r="11" spans="1:13" ht="22.5" x14ac:dyDescent="0.25">
      <c r="A11" s="24" t="s">
        <v>862</v>
      </c>
      <c r="B11" s="24">
        <v>12.7</v>
      </c>
      <c r="C11" s="24" t="s">
        <v>240</v>
      </c>
      <c r="D11" s="1" t="s">
        <v>873</v>
      </c>
      <c r="E11" s="18" t="s">
        <v>874</v>
      </c>
      <c r="F11" s="18" t="s">
        <v>884</v>
      </c>
      <c r="G11" s="170">
        <v>93</v>
      </c>
      <c r="H11" s="7"/>
      <c r="I11" s="7">
        <v>1</v>
      </c>
      <c r="J11" s="171">
        <f>365/7*10</f>
        <v>521.42857142857144</v>
      </c>
      <c r="K11" s="170">
        <f t="shared" si="0"/>
        <v>0.17835616438356164</v>
      </c>
      <c r="L11" s="14" t="s">
        <v>1316</v>
      </c>
      <c r="M11" s="14" t="s">
        <v>885</v>
      </c>
    </row>
    <row r="12" spans="1:13" ht="22.5" x14ac:dyDescent="0.25">
      <c r="A12" s="24" t="s">
        <v>862</v>
      </c>
      <c r="B12" s="24">
        <v>12.7</v>
      </c>
      <c r="C12" s="24" t="s">
        <v>240</v>
      </c>
      <c r="D12" s="1" t="s">
        <v>873</v>
      </c>
      <c r="E12" s="24" t="s">
        <v>886</v>
      </c>
      <c r="F12" s="1" t="s">
        <v>887</v>
      </c>
      <c r="G12" s="170">
        <v>6.2201834862385326</v>
      </c>
      <c r="H12" s="40"/>
      <c r="I12" s="40">
        <v>1</v>
      </c>
      <c r="J12" s="172">
        <f>365/7*10</f>
        <v>521.42857142857144</v>
      </c>
      <c r="K12" s="170">
        <f t="shared" si="0"/>
        <v>1.1929119014704035E-2</v>
      </c>
      <c r="L12" s="1" t="s">
        <v>1274</v>
      </c>
      <c r="M12" s="26" t="s">
        <v>1275</v>
      </c>
    </row>
    <row r="14" spans="1:13" ht="23.25" x14ac:dyDescent="0.25">
      <c r="D14" s="146" t="s">
        <v>1307</v>
      </c>
      <c r="E14" s="162">
        <f>SUM(K6+K7+K8+K11+K12)</f>
        <v>22.483538791516178</v>
      </c>
    </row>
    <row r="15" spans="1:13" ht="23.25" x14ac:dyDescent="0.25">
      <c r="D15" s="147" t="s">
        <v>1308</v>
      </c>
      <c r="E15" s="162">
        <f>K5</f>
        <v>3.0493150684931507</v>
      </c>
    </row>
    <row r="16" spans="1:13" x14ac:dyDescent="0.25">
      <c r="D16" s="147" t="s">
        <v>1309</v>
      </c>
      <c r="E16" s="159">
        <v>0</v>
      </c>
    </row>
    <row r="17" spans="4:5" x14ac:dyDescent="0.25">
      <c r="D17" s="147" t="s">
        <v>1310</v>
      </c>
      <c r="E17" s="162">
        <f>SUM(K9:K10)</f>
        <v>11.613623103817694</v>
      </c>
    </row>
  </sheetData>
  <pageMargins left="0.7" right="0.7" top="0.75" bottom="0.75" header="0.3" footer="0.3"/>
  <pageSetup paperSize="9" scale="74" orientation="landscape"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D721FA-AA50-45BA-ABF4-0C812EC319C6}">
  <dimension ref="A1:V282"/>
  <sheetViews>
    <sheetView view="pageBreakPreview" zoomScaleNormal="100" zoomScaleSheetLayoutView="100" workbookViewId="0"/>
  </sheetViews>
  <sheetFormatPr defaultColWidth="8.7109375" defaultRowHeight="15" x14ac:dyDescent="0.25"/>
  <cols>
    <col min="1" max="1" width="5.85546875" style="77" customWidth="1"/>
    <col min="2" max="2" width="7.140625" style="77" customWidth="1"/>
    <col min="3" max="3" width="6.28515625" style="77" customWidth="1"/>
    <col min="4" max="4" width="28.5703125" style="85" customWidth="1"/>
    <col min="5" max="5" width="11.85546875" style="77" customWidth="1"/>
    <col min="6" max="6" width="8.7109375" style="77" customWidth="1"/>
    <col min="7" max="7" width="7" style="77" customWidth="1"/>
    <col min="8" max="8" width="6.7109375" style="77" customWidth="1"/>
    <col min="9" max="9" width="8.140625" style="77" customWidth="1"/>
    <col min="10" max="10" width="8.42578125" style="77" customWidth="1"/>
    <col min="11" max="11" width="8.28515625" style="77" customWidth="1"/>
    <col min="12" max="12" width="28.5703125" style="77" customWidth="1"/>
    <col min="13" max="13" width="33.7109375" style="77" customWidth="1"/>
    <col min="14" max="14" width="39.85546875" style="4" customWidth="1"/>
    <col min="20" max="20" width="9.5703125" bestFit="1" customWidth="1"/>
    <col min="21" max="21" width="10.42578125" bestFit="1" customWidth="1"/>
    <col min="23" max="16384" width="8.7109375" style="77"/>
  </cols>
  <sheetData>
    <row r="1" spans="1:22" s="116" customFormat="1" x14ac:dyDescent="0.25">
      <c r="A1" s="138" t="s">
        <v>1318</v>
      </c>
      <c r="D1" s="117"/>
      <c r="N1" s="118"/>
      <c r="O1" s="78"/>
      <c r="P1" s="78"/>
      <c r="Q1" s="78"/>
      <c r="R1" s="78"/>
      <c r="S1" s="78"/>
      <c r="T1" s="78"/>
      <c r="U1" s="78"/>
      <c r="V1" s="78"/>
    </row>
    <row r="2" spans="1:22" s="116" customFormat="1" x14ac:dyDescent="0.25">
      <c r="A2" s="116" t="s">
        <v>1273</v>
      </c>
      <c r="D2" s="117"/>
      <c r="N2" s="118"/>
      <c r="O2" s="78"/>
      <c r="P2" s="78"/>
      <c r="Q2" s="78"/>
      <c r="R2" s="78"/>
      <c r="S2" s="78"/>
      <c r="T2" s="78"/>
      <c r="U2" s="78"/>
      <c r="V2" s="78"/>
    </row>
    <row r="3" spans="1:22" s="116" customFormat="1" x14ac:dyDescent="0.25">
      <c r="A3" s="116" t="s">
        <v>1260</v>
      </c>
      <c r="D3" s="117"/>
      <c r="N3" s="118"/>
      <c r="O3" s="78"/>
      <c r="P3" s="78"/>
      <c r="Q3" s="78"/>
      <c r="R3" s="78"/>
      <c r="S3" s="78"/>
      <c r="T3" s="78"/>
      <c r="U3" s="78"/>
      <c r="V3" s="78"/>
    </row>
    <row r="4" spans="1:22" x14ac:dyDescent="0.25">
      <c r="D4" s="77"/>
      <c r="N4" s="91"/>
      <c r="P4" s="78"/>
    </row>
    <row r="5" spans="1:22" ht="22.5" x14ac:dyDescent="0.25">
      <c r="A5" s="11" t="s">
        <v>0</v>
      </c>
      <c r="B5" s="11" t="s">
        <v>1</v>
      </c>
      <c r="C5" s="11" t="s">
        <v>2</v>
      </c>
      <c r="D5" s="11" t="s">
        <v>4</v>
      </c>
      <c r="E5" s="11" t="s">
        <v>5</v>
      </c>
      <c r="F5" s="11" t="s">
        <v>6</v>
      </c>
      <c r="G5" s="86" t="s">
        <v>7</v>
      </c>
      <c r="H5" s="86" t="s">
        <v>8</v>
      </c>
      <c r="I5" s="11" t="s">
        <v>9</v>
      </c>
      <c r="J5" s="12" t="s">
        <v>10</v>
      </c>
      <c r="K5" s="86" t="s">
        <v>11</v>
      </c>
      <c r="L5" s="86" t="s">
        <v>12</v>
      </c>
      <c r="M5" s="11" t="s">
        <v>13</v>
      </c>
      <c r="N5" s="92"/>
      <c r="P5" s="4"/>
      <c r="Q5" s="4"/>
    </row>
    <row r="6" spans="1:22" x14ac:dyDescent="0.25">
      <c r="A6" s="4" t="s">
        <v>922</v>
      </c>
      <c r="B6" s="4">
        <v>1.1000000000000001</v>
      </c>
      <c r="C6" s="4" t="s">
        <v>240</v>
      </c>
      <c r="D6" s="14" t="s">
        <v>923</v>
      </c>
      <c r="E6" s="4" t="s">
        <v>28</v>
      </c>
      <c r="F6" s="4" t="s">
        <v>28</v>
      </c>
      <c r="G6" s="148">
        <v>1.312613430127042</v>
      </c>
      <c r="H6" s="149">
        <v>80</v>
      </c>
      <c r="I6" s="149">
        <v>1</v>
      </c>
      <c r="J6" s="151">
        <f>80/35</f>
        <v>2.2857142857142856</v>
      </c>
      <c r="K6" s="16">
        <f t="shared" ref="K6:K37" si="0">G6*I6/J6</f>
        <v>0.57426837568058087</v>
      </c>
      <c r="L6" s="14" t="s">
        <v>924</v>
      </c>
      <c r="M6" s="14" t="s">
        <v>925</v>
      </c>
      <c r="P6" s="113"/>
      <c r="Q6" s="113"/>
      <c r="T6" s="67"/>
      <c r="U6" s="67"/>
      <c r="V6" s="67"/>
    </row>
    <row r="7" spans="1:22" x14ac:dyDescent="0.25">
      <c r="A7" s="4" t="s">
        <v>922</v>
      </c>
      <c r="B7" s="4">
        <v>1.1000000000000001</v>
      </c>
      <c r="C7" s="4" t="s">
        <v>240</v>
      </c>
      <c r="D7" s="14" t="s">
        <v>926</v>
      </c>
      <c r="E7" s="4" t="s">
        <v>28</v>
      </c>
      <c r="F7" s="4" t="s">
        <v>28</v>
      </c>
      <c r="G7" s="148">
        <v>3.5798548094373865</v>
      </c>
      <c r="H7" s="149" t="s">
        <v>927</v>
      </c>
      <c r="I7" s="149">
        <v>1</v>
      </c>
      <c r="J7" s="151">
        <f>200/35</f>
        <v>5.7142857142857144</v>
      </c>
      <c r="K7" s="16">
        <f t="shared" si="0"/>
        <v>0.62647459165154262</v>
      </c>
      <c r="L7" s="14" t="s">
        <v>928</v>
      </c>
      <c r="M7" s="14" t="s">
        <v>929</v>
      </c>
      <c r="N7" s="14"/>
      <c r="P7" s="114"/>
      <c r="Q7" s="114"/>
      <c r="T7" s="5"/>
      <c r="U7" s="5"/>
      <c r="V7" s="5"/>
    </row>
    <row r="8" spans="1:22" ht="22.5" x14ac:dyDescent="0.25">
      <c r="A8" s="4" t="s">
        <v>922</v>
      </c>
      <c r="B8" s="4">
        <v>1.1000000000000001</v>
      </c>
      <c r="C8" s="4" t="s">
        <v>240</v>
      </c>
      <c r="D8" s="14" t="s">
        <v>930</v>
      </c>
      <c r="E8" s="4" t="s">
        <v>28</v>
      </c>
      <c r="F8" s="4" t="s">
        <v>28</v>
      </c>
      <c r="G8" s="148">
        <v>1.4916061705989112</v>
      </c>
      <c r="H8" s="149" t="s">
        <v>931</v>
      </c>
      <c r="I8" s="149">
        <v>1</v>
      </c>
      <c r="J8" s="151">
        <f>2272/2013</f>
        <v>1.1286636860407353</v>
      </c>
      <c r="K8" s="16">
        <f t="shared" si="0"/>
        <v>1.3215683192850387</v>
      </c>
      <c r="L8" s="14" t="s">
        <v>932</v>
      </c>
      <c r="M8" s="14" t="s">
        <v>933</v>
      </c>
      <c r="N8" s="14"/>
      <c r="T8" s="67"/>
      <c r="U8" s="67"/>
      <c r="V8" s="67"/>
    </row>
    <row r="9" spans="1:22" ht="22.5" x14ac:dyDescent="0.25">
      <c r="A9" s="4" t="s">
        <v>922</v>
      </c>
      <c r="B9" s="4">
        <v>1.1000000000000001</v>
      </c>
      <c r="C9" s="4" t="s">
        <v>240</v>
      </c>
      <c r="D9" s="14" t="s">
        <v>934</v>
      </c>
      <c r="E9" s="4" t="s">
        <v>28</v>
      </c>
      <c r="F9" s="4" t="s">
        <v>28</v>
      </c>
      <c r="G9" s="148">
        <v>2.0882486388384756</v>
      </c>
      <c r="H9" s="149" t="s">
        <v>935</v>
      </c>
      <c r="I9" s="149">
        <v>1</v>
      </c>
      <c r="J9" s="151">
        <f>100/7</f>
        <v>14.285714285714286</v>
      </c>
      <c r="K9" s="16">
        <f t="shared" si="0"/>
        <v>0.14617740471869328</v>
      </c>
      <c r="L9" s="14" t="s">
        <v>936</v>
      </c>
      <c r="M9" s="14" t="s">
        <v>1227</v>
      </c>
      <c r="N9" s="14"/>
      <c r="P9" s="67"/>
      <c r="Q9" s="5"/>
      <c r="T9" s="5"/>
      <c r="U9" s="5"/>
      <c r="V9" s="5"/>
    </row>
    <row r="10" spans="1:22" x14ac:dyDescent="0.25">
      <c r="A10" s="4" t="s">
        <v>922</v>
      </c>
      <c r="B10" s="4">
        <v>1.1000000000000001</v>
      </c>
      <c r="C10" s="4" t="s">
        <v>240</v>
      </c>
      <c r="D10" s="14" t="s">
        <v>937</v>
      </c>
      <c r="E10" s="4" t="s">
        <v>28</v>
      </c>
      <c r="F10" s="4" t="s">
        <v>28</v>
      </c>
      <c r="G10" s="148">
        <v>1.0739564428312161</v>
      </c>
      <c r="H10" s="149" t="s">
        <v>938</v>
      </c>
      <c r="I10" s="149">
        <v>2</v>
      </c>
      <c r="J10" s="151">
        <f>2000/1120</f>
        <v>1.7857142857142858</v>
      </c>
      <c r="K10" s="16">
        <f t="shared" si="0"/>
        <v>1.202831215970962</v>
      </c>
      <c r="L10" s="14" t="s">
        <v>939</v>
      </c>
      <c r="M10" s="14" t="s">
        <v>940</v>
      </c>
      <c r="N10" s="14"/>
      <c r="P10" s="113"/>
      <c r="Q10" s="113"/>
      <c r="T10" s="80"/>
      <c r="U10" s="80"/>
      <c r="V10" s="80"/>
    </row>
    <row r="11" spans="1:22" ht="22.5" x14ac:dyDescent="0.25">
      <c r="A11" s="4" t="s">
        <v>922</v>
      </c>
      <c r="B11" s="4">
        <v>1.1000000000000001</v>
      </c>
      <c r="C11" s="4" t="s">
        <v>240</v>
      </c>
      <c r="D11" s="14" t="s">
        <v>941</v>
      </c>
      <c r="E11" s="4" t="s">
        <v>942</v>
      </c>
      <c r="F11" s="4" t="s">
        <v>28</v>
      </c>
      <c r="G11" s="148">
        <v>1.4319419237749547</v>
      </c>
      <c r="H11" s="149">
        <v>6</v>
      </c>
      <c r="I11" s="149">
        <v>1</v>
      </c>
      <c r="J11" s="151">
        <v>6</v>
      </c>
      <c r="K11" s="16">
        <f t="shared" si="0"/>
        <v>0.23865698729582577</v>
      </c>
      <c r="L11" s="14" t="s">
        <v>943</v>
      </c>
      <c r="M11" s="14" t="s">
        <v>944</v>
      </c>
      <c r="N11" s="14"/>
      <c r="O11" s="68"/>
      <c r="P11" s="115"/>
      <c r="Q11" s="115"/>
      <c r="T11" s="67"/>
      <c r="U11" s="67"/>
      <c r="V11" s="67"/>
    </row>
    <row r="12" spans="1:22" x14ac:dyDescent="0.25">
      <c r="A12" s="4" t="s">
        <v>922</v>
      </c>
      <c r="B12" s="4">
        <v>1.1000000000000001</v>
      </c>
      <c r="C12" s="4" t="s">
        <v>240</v>
      </c>
      <c r="D12" s="4" t="s">
        <v>945</v>
      </c>
      <c r="E12" s="4" t="s">
        <v>946</v>
      </c>
      <c r="F12" s="4" t="s">
        <v>28</v>
      </c>
      <c r="G12" s="148">
        <v>1.9092558983666064</v>
      </c>
      <c r="H12" s="149">
        <v>12</v>
      </c>
      <c r="I12" s="149">
        <v>1</v>
      </c>
      <c r="J12" s="151">
        <f>12/4</f>
        <v>3</v>
      </c>
      <c r="K12" s="16">
        <f t="shared" si="0"/>
        <v>0.63641863278886879</v>
      </c>
      <c r="L12" s="14" t="s">
        <v>947</v>
      </c>
      <c r="M12" s="14" t="s">
        <v>948</v>
      </c>
      <c r="N12" s="14"/>
      <c r="O12" s="68"/>
      <c r="P12" s="115"/>
      <c r="Q12" s="115"/>
      <c r="T12" s="81"/>
      <c r="U12" s="81"/>
      <c r="V12" s="81"/>
    </row>
    <row r="13" spans="1:22" ht="22.5" x14ac:dyDescent="0.25">
      <c r="A13" s="4" t="s">
        <v>922</v>
      </c>
      <c r="B13" s="4">
        <v>1.1000000000000001</v>
      </c>
      <c r="C13" s="4" t="s">
        <v>240</v>
      </c>
      <c r="D13" s="14" t="s">
        <v>949</v>
      </c>
      <c r="E13" s="4" t="s">
        <v>28</v>
      </c>
      <c r="F13" s="4" t="s">
        <v>28</v>
      </c>
      <c r="G13" s="148">
        <v>0.704038112522686</v>
      </c>
      <c r="H13" s="149">
        <v>18</v>
      </c>
      <c r="I13" s="149">
        <v>1</v>
      </c>
      <c r="J13" s="151">
        <f>18/8</f>
        <v>2.25</v>
      </c>
      <c r="K13" s="16">
        <f t="shared" si="0"/>
        <v>0.31290582778786047</v>
      </c>
      <c r="L13" s="14" t="s">
        <v>950</v>
      </c>
      <c r="M13" s="4" t="s">
        <v>951</v>
      </c>
      <c r="N13" s="14"/>
    </row>
    <row r="14" spans="1:22" x14ac:dyDescent="0.25">
      <c r="A14" s="4" t="s">
        <v>922</v>
      </c>
      <c r="B14" s="4">
        <v>1.1000000000000001</v>
      </c>
      <c r="C14" s="4" t="s">
        <v>240</v>
      </c>
      <c r="D14" s="14" t="s">
        <v>952</v>
      </c>
      <c r="E14" s="4" t="s">
        <v>28</v>
      </c>
      <c r="F14" s="4" t="s">
        <v>28</v>
      </c>
      <c r="G14" s="148">
        <v>1.1932849364791289</v>
      </c>
      <c r="H14" s="149" t="s">
        <v>953</v>
      </c>
      <c r="I14" s="149">
        <v>1</v>
      </c>
      <c r="J14" s="151">
        <f>270/54</f>
        <v>5</v>
      </c>
      <c r="K14" s="16">
        <f t="shared" si="0"/>
        <v>0.2386569872958258</v>
      </c>
      <c r="L14" s="14" t="s">
        <v>954</v>
      </c>
      <c r="M14" s="4" t="s">
        <v>955</v>
      </c>
      <c r="N14" s="14"/>
      <c r="T14" s="80"/>
      <c r="U14" s="80"/>
      <c r="V14" s="80"/>
    </row>
    <row r="15" spans="1:22" ht="22.5" x14ac:dyDescent="0.25">
      <c r="A15" s="4" t="s">
        <v>922</v>
      </c>
      <c r="B15" s="4">
        <v>1.1000000000000001</v>
      </c>
      <c r="C15" s="4" t="s">
        <v>240</v>
      </c>
      <c r="D15" s="14" t="s">
        <v>956</v>
      </c>
      <c r="E15" s="4" t="s">
        <v>957</v>
      </c>
      <c r="F15" s="4" t="s">
        <v>28</v>
      </c>
      <c r="G15" s="148">
        <v>0.94269509981851185</v>
      </c>
      <c r="H15" s="149">
        <v>6</v>
      </c>
      <c r="I15" s="149">
        <v>1</v>
      </c>
      <c r="J15" s="151">
        <f>6/3</f>
        <v>2</v>
      </c>
      <c r="K15" s="16">
        <f t="shared" si="0"/>
        <v>0.47134754990925593</v>
      </c>
      <c r="L15" s="14" t="s">
        <v>958</v>
      </c>
      <c r="M15" s="14" t="s">
        <v>959</v>
      </c>
      <c r="N15" s="14"/>
      <c r="T15" s="67"/>
      <c r="U15" s="67"/>
      <c r="V15" s="67"/>
    </row>
    <row r="16" spans="1:22" x14ac:dyDescent="0.25">
      <c r="A16" s="4" t="s">
        <v>922</v>
      </c>
      <c r="B16" s="4">
        <v>1.1000000000000001</v>
      </c>
      <c r="C16" s="4" t="s">
        <v>240</v>
      </c>
      <c r="D16" s="14" t="s">
        <v>960</v>
      </c>
      <c r="E16" s="4" t="s">
        <v>28</v>
      </c>
      <c r="F16" s="4" t="s">
        <v>28</v>
      </c>
      <c r="G16" s="148">
        <v>2.5058983666061709</v>
      </c>
      <c r="H16" s="149">
        <v>12</v>
      </c>
      <c r="I16" s="149">
        <v>1</v>
      </c>
      <c r="J16" s="151">
        <f>12/6</f>
        <v>2</v>
      </c>
      <c r="K16" s="16">
        <f t="shared" si="0"/>
        <v>1.2529491833030855</v>
      </c>
      <c r="L16" s="14" t="s">
        <v>961</v>
      </c>
      <c r="M16" s="14" t="s">
        <v>962</v>
      </c>
      <c r="N16" s="14"/>
      <c r="T16" s="81"/>
      <c r="U16" s="81"/>
      <c r="V16" s="81"/>
    </row>
    <row r="17" spans="1:14" ht="22.5" x14ac:dyDescent="0.25">
      <c r="A17" s="4" t="s">
        <v>922</v>
      </c>
      <c r="B17" s="4">
        <v>1.1000000000000001</v>
      </c>
      <c r="C17" s="4" t="s">
        <v>240</v>
      </c>
      <c r="D17" s="14" t="s">
        <v>963</v>
      </c>
      <c r="E17" s="4" t="s">
        <v>28</v>
      </c>
      <c r="F17" s="4" t="s">
        <v>28</v>
      </c>
      <c r="G17" s="148">
        <v>1.7899274047186933</v>
      </c>
      <c r="H17" s="149">
        <v>12</v>
      </c>
      <c r="I17" s="149">
        <v>1</v>
      </c>
      <c r="J17" s="151">
        <f>12/1</f>
        <v>12</v>
      </c>
      <c r="K17" s="16">
        <f t="shared" si="0"/>
        <v>0.14916061705989112</v>
      </c>
      <c r="L17" s="14" t="s">
        <v>964</v>
      </c>
      <c r="M17" s="4" t="s">
        <v>965</v>
      </c>
      <c r="N17" s="14"/>
    </row>
    <row r="18" spans="1:14" x14ac:dyDescent="0.25">
      <c r="A18" s="4" t="s">
        <v>922</v>
      </c>
      <c r="B18" s="4">
        <v>1.1000000000000001</v>
      </c>
      <c r="C18" s="4" t="s">
        <v>240</v>
      </c>
      <c r="D18" s="14" t="s">
        <v>966</v>
      </c>
      <c r="E18" s="4" t="s">
        <v>28</v>
      </c>
      <c r="F18" s="4" t="s">
        <v>28</v>
      </c>
      <c r="G18" s="148">
        <v>0.34605263157894739</v>
      </c>
      <c r="H18" s="149" t="s">
        <v>967</v>
      </c>
      <c r="I18" s="149">
        <v>1</v>
      </c>
      <c r="J18" s="151">
        <v>1</v>
      </c>
      <c r="K18" s="16">
        <f t="shared" si="0"/>
        <v>0.34605263157894739</v>
      </c>
      <c r="L18" s="14" t="s">
        <v>968</v>
      </c>
      <c r="M18" s="14" t="s">
        <v>969</v>
      </c>
      <c r="N18" s="14"/>
    </row>
    <row r="19" spans="1:14" ht="33.75" x14ac:dyDescent="0.25">
      <c r="A19" s="4" t="s">
        <v>922</v>
      </c>
      <c r="B19" s="4">
        <v>1.1000000000000001</v>
      </c>
      <c r="C19" s="4" t="s">
        <v>240</v>
      </c>
      <c r="D19" s="14" t="s">
        <v>970</v>
      </c>
      <c r="E19" s="4" t="s">
        <v>28</v>
      </c>
      <c r="F19" s="4" t="s">
        <v>28</v>
      </c>
      <c r="G19" s="148">
        <v>1.8495916515426498</v>
      </c>
      <c r="H19" s="149">
        <v>8</v>
      </c>
      <c r="I19" s="149">
        <v>1</v>
      </c>
      <c r="J19" s="151">
        <f>8/1.5</f>
        <v>5.333333333333333</v>
      </c>
      <c r="K19" s="16">
        <f t="shared" si="0"/>
        <v>0.34679843466424687</v>
      </c>
      <c r="L19" s="14" t="s">
        <v>971</v>
      </c>
      <c r="M19" s="14" t="s">
        <v>1258</v>
      </c>
      <c r="N19" s="92"/>
    </row>
    <row r="20" spans="1:14" x14ac:dyDescent="0.25">
      <c r="A20" s="4" t="s">
        <v>922</v>
      </c>
      <c r="B20" s="4">
        <v>1.1000000000000001</v>
      </c>
      <c r="C20" s="4" t="s">
        <v>240</v>
      </c>
      <c r="D20" s="14" t="s">
        <v>972</v>
      </c>
      <c r="E20" s="4" t="s">
        <v>28</v>
      </c>
      <c r="F20" s="4" t="s">
        <v>28</v>
      </c>
      <c r="G20" s="148">
        <v>3.8781760435571688</v>
      </c>
      <c r="H20" s="149" t="s">
        <v>938</v>
      </c>
      <c r="I20" s="149">
        <v>1</v>
      </c>
      <c r="J20" s="151">
        <f>1000/105</f>
        <v>9.5238095238095237</v>
      </c>
      <c r="K20" s="16">
        <f t="shared" si="0"/>
        <v>0.40720848457350273</v>
      </c>
      <c r="L20" s="14" t="s">
        <v>973</v>
      </c>
      <c r="M20" s="14" t="s">
        <v>974</v>
      </c>
      <c r="N20" s="14"/>
    </row>
    <row r="21" spans="1:14" ht="22.5" x14ac:dyDescent="0.25">
      <c r="A21" s="4" t="s">
        <v>922</v>
      </c>
      <c r="B21" s="4">
        <v>1.1000000000000001</v>
      </c>
      <c r="C21" s="4" t="s">
        <v>240</v>
      </c>
      <c r="D21" s="14" t="s">
        <v>975</v>
      </c>
      <c r="E21" s="4" t="s">
        <v>28</v>
      </c>
      <c r="F21" s="4" t="s">
        <v>28</v>
      </c>
      <c r="G21" s="148">
        <v>2.7445553539019962</v>
      </c>
      <c r="H21" s="149" t="s">
        <v>976</v>
      </c>
      <c r="I21" s="149">
        <v>1</v>
      </c>
      <c r="J21" s="151">
        <f>500/203</f>
        <v>2.4630541871921183</v>
      </c>
      <c r="K21" s="16">
        <f t="shared" si="0"/>
        <v>1.1142894736842104</v>
      </c>
      <c r="L21" s="14" t="s">
        <v>977</v>
      </c>
      <c r="M21" s="14" t="s">
        <v>978</v>
      </c>
      <c r="N21" s="14"/>
    </row>
    <row r="22" spans="1:14" x14ac:dyDescent="0.25">
      <c r="A22" s="4" t="s">
        <v>922</v>
      </c>
      <c r="B22" s="4">
        <v>1.1000000000000001</v>
      </c>
      <c r="C22" s="4" t="s">
        <v>240</v>
      </c>
      <c r="D22" s="14" t="s">
        <v>979</v>
      </c>
      <c r="E22" s="4" t="s">
        <v>979</v>
      </c>
      <c r="F22" s="4" t="s">
        <v>28</v>
      </c>
      <c r="G22" s="148">
        <v>2.3865698729582578</v>
      </c>
      <c r="H22" s="149" t="s">
        <v>980</v>
      </c>
      <c r="I22" s="149">
        <v>1</v>
      </c>
      <c r="J22" s="151">
        <f>125/16</f>
        <v>7.8125</v>
      </c>
      <c r="K22" s="16">
        <f t="shared" si="0"/>
        <v>0.30548094373865703</v>
      </c>
      <c r="L22" s="14" t="s">
        <v>981</v>
      </c>
      <c r="M22" s="14" t="s">
        <v>982</v>
      </c>
      <c r="N22" s="14"/>
    </row>
    <row r="23" spans="1:14" ht="45" x14ac:dyDescent="0.25">
      <c r="A23" s="4" t="s">
        <v>922</v>
      </c>
      <c r="B23" s="4">
        <v>1.1000000000000001</v>
      </c>
      <c r="C23" s="4" t="s">
        <v>240</v>
      </c>
      <c r="D23" s="14" t="s">
        <v>983</v>
      </c>
      <c r="E23" s="4" t="s">
        <v>28</v>
      </c>
      <c r="F23" s="4" t="s">
        <v>28</v>
      </c>
      <c r="G23" s="148">
        <v>0.71597096188747733</v>
      </c>
      <c r="H23" s="149" t="s">
        <v>984</v>
      </c>
      <c r="I23" s="149">
        <v>1</v>
      </c>
      <c r="J23" s="151">
        <v>6</v>
      </c>
      <c r="K23" s="16">
        <f t="shared" si="0"/>
        <v>0.11932849364791288</v>
      </c>
      <c r="L23" s="14" t="s">
        <v>985</v>
      </c>
      <c r="M23" s="14" t="s">
        <v>986</v>
      </c>
      <c r="N23" s="14"/>
    </row>
    <row r="24" spans="1:14" x14ac:dyDescent="0.25">
      <c r="A24" s="4" t="s">
        <v>922</v>
      </c>
      <c r="B24" s="4">
        <v>1.1000000000000001</v>
      </c>
      <c r="C24" s="4" t="s">
        <v>240</v>
      </c>
      <c r="D24" s="14" t="s">
        <v>987</v>
      </c>
      <c r="E24" s="4" t="s">
        <v>28</v>
      </c>
      <c r="F24" s="4" t="s">
        <v>28</v>
      </c>
      <c r="G24" s="148">
        <v>0.59664246823956446</v>
      </c>
      <c r="H24" s="149">
        <v>28</v>
      </c>
      <c r="I24" s="149">
        <v>1</v>
      </c>
      <c r="J24" s="151">
        <f>28/14</f>
        <v>2</v>
      </c>
      <c r="K24" s="16">
        <f t="shared" si="0"/>
        <v>0.29832123411978223</v>
      </c>
      <c r="L24" s="14" t="s">
        <v>988</v>
      </c>
      <c r="M24" s="4" t="s">
        <v>989</v>
      </c>
    </row>
    <row r="25" spans="1:14" ht="22.5" x14ac:dyDescent="0.25">
      <c r="A25" s="4" t="s">
        <v>922</v>
      </c>
      <c r="B25" s="4">
        <v>1.1000000000000001</v>
      </c>
      <c r="C25" s="4" t="s">
        <v>240</v>
      </c>
      <c r="D25" s="14" t="s">
        <v>990</v>
      </c>
      <c r="E25" s="4" t="s">
        <v>991</v>
      </c>
      <c r="F25" s="4" t="s">
        <v>28</v>
      </c>
      <c r="G25" s="148">
        <v>2.3865698729582578</v>
      </c>
      <c r="H25" s="149" t="s">
        <v>992</v>
      </c>
      <c r="I25" s="149">
        <v>1</v>
      </c>
      <c r="J25" s="151">
        <f>7/4</f>
        <v>1.75</v>
      </c>
      <c r="K25" s="16">
        <f t="shared" si="0"/>
        <v>1.3637542131190046</v>
      </c>
      <c r="L25" s="14" t="s">
        <v>993</v>
      </c>
      <c r="M25" s="14" t="s">
        <v>1259</v>
      </c>
      <c r="N25" s="92"/>
    </row>
    <row r="26" spans="1:14" x14ac:dyDescent="0.25">
      <c r="A26" s="4" t="s">
        <v>922</v>
      </c>
      <c r="B26" s="4">
        <v>1.1000000000000001</v>
      </c>
      <c r="C26" s="4" t="s">
        <v>240</v>
      </c>
      <c r="D26" s="14" t="s">
        <v>994</v>
      </c>
      <c r="E26" s="4" t="s">
        <v>28</v>
      </c>
      <c r="F26" s="4" t="s">
        <v>28</v>
      </c>
      <c r="G26" s="148">
        <v>0.16705989110707806</v>
      </c>
      <c r="H26" s="149">
        <v>1</v>
      </c>
      <c r="I26" s="149">
        <v>1</v>
      </c>
      <c r="J26" s="151">
        <v>1</v>
      </c>
      <c r="K26" s="16">
        <f t="shared" si="0"/>
        <v>0.16705989110707806</v>
      </c>
      <c r="L26" s="14" t="s">
        <v>995</v>
      </c>
      <c r="M26" s="14" t="s">
        <v>996</v>
      </c>
      <c r="N26" s="14"/>
    </row>
    <row r="27" spans="1:14" ht="22.5" x14ac:dyDescent="0.25">
      <c r="A27" s="4" t="s">
        <v>922</v>
      </c>
      <c r="B27" s="4">
        <v>1.1000000000000001</v>
      </c>
      <c r="C27" s="4" t="s">
        <v>240</v>
      </c>
      <c r="D27" s="14" t="s">
        <v>997</v>
      </c>
      <c r="E27" s="4" t="s">
        <v>28</v>
      </c>
      <c r="F27" s="4" t="s">
        <v>28</v>
      </c>
      <c r="G27" s="148">
        <v>0.60857531760435579</v>
      </c>
      <c r="H27" s="149">
        <v>1</v>
      </c>
      <c r="I27" s="149">
        <v>1</v>
      </c>
      <c r="J27" s="151">
        <v>1</v>
      </c>
      <c r="K27" s="149">
        <f t="shared" si="0"/>
        <v>0.60857531760435579</v>
      </c>
      <c r="L27" s="14" t="s">
        <v>998</v>
      </c>
      <c r="M27" s="4" t="s">
        <v>999</v>
      </c>
      <c r="N27" s="14"/>
    </row>
    <row r="28" spans="1:14" ht="22.5" x14ac:dyDescent="0.25">
      <c r="A28" s="4" t="s">
        <v>922</v>
      </c>
      <c r="B28" s="4">
        <v>1.1000000000000001</v>
      </c>
      <c r="C28" s="4" t="s">
        <v>240</v>
      </c>
      <c r="D28" s="14" t="s">
        <v>1000</v>
      </c>
      <c r="E28" s="4" t="s">
        <v>28</v>
      </c>
      <c r="F28" s="4" t="s">
        <v>28</v>
      </c>
      <c r="G28" s="148">
        <v>0.51311252268602547</v>
      </c>
      <c r="H28" s="149">
        <v>1</v>
      </c>
      <c r="I28" s="149">
        <v>3</v>
      </c>
      <c r="J28" s="151">
        <v>1</v>
      </c>
      <c r="K28" s="149">
        <f t="shared" si="0"/>
        <v>1.5393375680580763</v>
      </c>
      <c r="L28" s="14" t="s">
        <v>1001</v>
      </c>
      <c r="M28" s="14" t="s">
        <v>1002</v>
      </c>
    </row>
    <row r="29" spans="1:14" ht="22.5" x14ac:dyDescent="0.25">
      <c r="A29" s="4" t="s">
        <v>922</v>
      </c>
      <c r="B29" s="4">
        <v>1.1000000000000001</v>
      </c>
      <c r="C29" s="4" t="s">
        <v>240</v>
      </c>
      <c r="D29" s="14" t="s">
        <v>1003</v>
      </c>
      <c r="E29" s="4" t="s">
        <v>28</v>
      </c>
      <c r="F29" s="4" t="s">
        <v>28</v>
      </c>
      <c r="G29" s="148">
        <v>0.59664246823956446</v>
      </c>
      <c r="H29" s="149">
        <v>1</v>
      </c>
      <c r="I29" s="149">
        <v>2</v>
      </c>
      <c r="J29" s="151">
        <v>1</v>
      </c>
      <c r="K29" s="148">
        <f t="shared" si="0"/>
        <v>1.1932849364791289</v>
      </c>
      <c r="L29" s="14" t="s">
        <v>1004</v>
      </c>
      <c r="M29" s="14" t="s">
        <v>1005</v>
      </c>
      <c r="N29" s="14"/>
    </row>
    <row r="30" spans="1:14" x14ac:dyDescent="0.25">
      <c r="A30" s="4" t="s">
        <v>922</v>
      </c>
      <c r="B30" s="4">
        <v>1.1000000000000001</v>
      </c>
      <c r="C30" s="4" t="s">
        <v>240</v>
      </c>
      <c r="D30" s="14" t="s">
        <v>1006</v>
      </c>
      <c r="E30" s="4" t="s">
        <v>28</v>
      </c>
      <c r="F30" s="4" t="s">
        <v>28</v>
      </c>
      <c r="G30" s="148">
        <v>3.3411978221415608</v>
      </c>
      <c r="H30" s="149" t="s">
        <v>1007</v>
      </c>
      <c r="I30" s="149">
        <v>1</v>
      </c>
      <c r="J30" s="151">
        <v>1</v>
      </c>
      <c r="K30" s="148">
        <f t="shared" si="0"/>
        <v>3.3411978221415608</v>
      </c>
      <c r="L30" s="14" t="s">
        <v>1008</v>
      </c>
      <c r="M30" s="14" t="s">
        <v>1009</v>
      </c>
      <c r="N30" s="14"/>
    </row>
    <row r="31" spans="1:14" x14ac:dyDescent="0.25">
      <c r="A31" s="4" t="s">
        <v>922</v>
      </c>
      <c r="B31" s="4">
        <v>1.1000000000000001</v>
      </c>
      <c r="C31" s="4" t="s">
        <v>240</v>
      </c>
      <c r="D31" s="14" t="s">
        <v>1010</v>
      </c>
      <c r="E31" s="4" t="s">
        <v>28</v>
      </c>
      <c r="F31" s="4" t="s">
        <v>28</v>
      </c>
      <c r="G31" s="148">
        <v>2.4462341197822139</v>
      </c>
      <c r="H31" s="149" t="s">
        <v>1011</v>
      </c>
      <c r="I31" s="149">
        <v>1</v>
      </c>
      <c r="J31" s="151">
        <v>1</v>
      </c>
      <c r="K31" s="148">
        <f t="shared" si="0"/>
        <v>2.4462341197822139</v>
      </c>
      <c r="L31" s="14" t="s">
        <v>1012</v>
      </c>
      <c r="M31" s="14" t="s">
        <v>1013</v>
      </c>
      <c r="N31" s="14"/>
    </row>
    <row r="32" spans="1:14" ht="22.5" x14ac:dyDescent="0.25">
      <c r="A32" s="4" t="s">
        <v>922</v>
      </c>
      <c r="B32" s="4">
        <v>1.1000000000000001</v>
      </c>
      <c r="C32" s="4" t="s">
        <v>240</v>
      </c>
      <c r="D32" s="14" t="s">
        <v>1014</v>
      </c>
      <c r="E32" s="4" t="s">
        <v>28</v>
      </c>
      <c r="F32" s="4" t="s">
        <v>28</v>
      </c>
      <c r="G32" s="148">
        <v>4.1764972776769511</v>
      </c>
      <c r="H32" s="149" t="s">
        <v>1015</v>
      </c>
      <c r="I32" s="149">
        <v>1</v>
      </c>
      <c r="J32" s="151">
        <v>5</v>
      </c>
      <c r="K32" s="148">
        <f t="shared" si="0"/>
        <v>0.8352994555353902</v>
      </c>
      <c r="L32" s="14" t="s">
        <v>1016</v>
      </c>
      <c r="M32" s="14" t="s">
        <v>1017</v>
      </c>
      <c r="N32" s="14"/>
    </row>
    <row r="33" spans="1:14" ht="22.5" x14ac:dyDescent="0.25">
      <c r="A33" s="4" t="s">
        <v>922</v>
      </c>
      <c r="B33" s="4">
        <v>1.1000000000000001</v>
      </c>
      <c r="C33" s="4" t="s">
        <v>240</v>
      </c>
      <c r="D33" s="14" t="s">
        <v>1018</v>
      </c>
      <c r="E33" s="4" t="s">
        <v>28</v>
      </c>
      <c r="F33" s="4" t="s">
        <v>28</v>
      </c>
      <c r="G33" s="148">
        <v>5.9067604355716883</v>
      </c>
      <c r="H33" s="149" t="s">
        <v>976</v>
      </c>
      <c r="I33" s="149">
        <v>1</v>
      </c>
      <c r="J33" s="151">
        <f>500/125</f>
        <v>4</v>
      </c>
      <c r="K33" s="148">
        <f t="shared" si="0"/>
        <v>1.4766901088929221</v>
      </c>
      <c r="L33" s="14" t="s">
        <v>1019</v>
      </c>
      <c r="M33" s="14" t="s">
        <v>1020</v>
      </c>
      <c r="N33" s="14"/>
    </row>
    <row r="34" spans="1:14" ht="33.75" x14ac:dyDescent="0.25">
      <c r="A34" s="4" t="s">
        <v>922</v>
      </c>
      <c r="B34" s="4">
        <v>1.1000000000000001</v>
      </c>
      <c r="C34" s="4" t="s">
        <v>240</v>
      </c>
      <c r="D34" s="14" t="s">
        <v>1021</v>
      </c>
      <c r="E34" s="4" t="s">
        <v>28</v>
      </c>
      <c r="F34" s="4" t="s">
        <v>28</v>
      </c>
      <c r="G34" s="148">
        <v>3.3769963702359349</v>
      </c>
      <c r="H34" s="149">
        <v>4</v>
      </c>
      <c r="I34" s="149">
        <v>1</v>
      </c>
      <c r="J34" s="151">
        <f>4/3</f>
        <v>1.3333333333333333</v>
      </c>
      <c r="K34" s="148">
        <f t="shared" si="0"/>
        <v>2.5327472776769513</v>
      </c>
      <c r="L34" s="14" t="s">
        <v>1022</v>
      </c>
      <c r="M34" s="14" t="s">
        <v>1023</v>
      </c>
      <c r="N34" s="14"/>
    </row>
    <row r="35" spans="1:14" x14ac:dyDescent="0.25">
      <c r="A35" s="4" t="s">
        <v>922</v>
      </c>
      <c r="B35" s="4">
        <v>1.1000000000000001</v>
      </c>
      <c r="C35" s="4" t="s">
        <v>240</v>
      </c>
      <c r="D35" s="14" t="s">
        <v>1024</v>
      </c>
      <c r="E35" s="4" t="s">
        <v>1025</v>
      </c>
      <c r="F35" s="4" t="s">
        <v>28</v>
      </c>
      <c r="G35" s="148">
        <v>1.1932849364791289</v>
      </c>
      <c r="H35" s="149" t="s">
        <v>1026</v>
      </c>
      <c r="I35" s="149">
        <v>1</v>
      </c>
      <c r="J35" s="151">
        <v>1</v>
      </c>
      <c r="K35" s="148">
        <f t="shared" si="0"/>
        <v>1.1932849364791289</v>
      </c>
      <c r="L35" s="14" t="s">
        <v>1027</v>
      </c>
      <c r="M35" s="14" t="s">
        <v>1028</v>
      </c>
      <c r="N35" s="14"/>
    </row>
    <row r="36" spans="1:14" ht="22.5" x14ac:dyDescent="0.25">
      <c r="A36" s="4" t="s">
        <v>922</v>
      </c>
      <c r="B36" s="4">
        <v>1.1000000000000001</v>
      </c>
      <c r="C36" s="4" t="s">
        <v>240</v>
      </c>
      <c r="D36" s="14" t="s">
        <v>1029</v>
      </c>
      <c r="E36" s="4" t="s">
        <v>28</v>
      </c>
      <c r="F36" s="4" t="s">
        <v>28</v>
      </c>
      <c r="G36" s="148">
        <v>3.5679219600725958</v>
      </c>
      <c r="H36" s="149" t="s">
        <v>976</v>
      </c>
      <c r="I36" s="149">
        <v>1</v>
      </c>
      <c r="J36" s="151">
        <f>500/125</f>
        <v>4</v>
      </c>
      <c r="K36" s="148">
        <f t="shared" si="0"/>
        <v>0.89198049001814894</v>
      </c>
      <c r="L36" s="14" t="s">
        <v>1019</v>
      </c>
      <c r="M36" s="14" t="s">
        <v>1030</v>
      </c>
      <c r="N36" s="14"/>
    </row>
    <row r="37" spans="1:14" ht="22.5" x14ac:dyDescent="0.25">
      <c r="A37" s="4" t="s">
        <v>922</v>
      </c>
      <c r="B37" s="4">
        <v>1.1000000000000001</v>
      </c>
      <c r="C37" s="4" t="s">
        <v>240</v>
      </c>
      <c r="D37" s="14" t="s">
        <v>1031</v>
      </c>
      <c r="E37" s="4" t="s">
        <v>28</v>
      </c>
      <c r="F37" s="4" t="s">
        <v>28</v>
      </c>
      <c r="G37" s="148">
        <v>3.5798548094373865</v>
      </c>
      <c r="H37" s="149">
        <v>2</v>
      </c>
      <c r="I37" s="149">
        <v>1</v>
      </c>
      <c r="J37" s="151">
        <v>2</v>
      </c>
      <c r="K37" s="148">
        <f t="shared" si="0"/>
        <v>1.7899274047186933</v>
      </c>
      <c r="L37" s="14" t="s">
        <v>1032</v>
      </c>
      <c r="M37" s="14" t="s">
        <v>1033</v>
      </c>
      <c r="N37" s="14"/>
    </row>
    <row r="38" spans="1:14" x14ac:dyDescent="0.25">
      <c r="A38" s="4" t="s">
        <v>922</v>
      </c>
      <c r="B38" s="4">
        <v>1.1000000000000001</v>
      </c>
      <c r="C38" s="4" t="s">
        <v>240</v>
      </c>
      <c r="D38" s="14" t="s">
        <v>1034</v>
      </c>
      <c r="E38" s="4" t="s">
        <v>28</v>
      </c>
      <c r="F38" s="4" t="s">
        <v>28</v>
      </c>
      <c r="G38" s="148">
        <v>4.1168330308529946</v>
      </c>
      <c r="H38" s="149" t="s">
        <v>1035</v>
      </c>
      <c r="I38" s="149">
        <v>1</v>
      </c>
      <c r="J38" s="151">
        <v>2</v>
      </c>
      <c r="K38" s="148">
        <f t="shared" ref="K38:K69" si="1">G38*I38/J38</f>
        <v>2.0584165154264973</v>
      </c>
      <c r="L38" s="14" t="s">
        <v>1036</v>
      </c>
      <c r="M38" s="14" t="s">
        <v>1037</v>
      </c>
      <c r="N38" s="14"/>
    </row>
    <row r="39" spans="1:14" ht="22.5" x14ac:dyDescent="0.25">
      <c r="A39" s="4" t="s">
        <v>922</v>
      </c>
      <c r="B39" s="4">
        <v>1.1000000000000001</v>
      </c>
      <c r="C39" s="4" t="s">
        <v>240</v>
      </c>
      <c r="D39" s="14" t="s">
        <v>1038</v>
      </c>
      <c r="E39" s="4" t="s">
        <v>28</v>
      </c>
      <c r="F39" s="4" t="s">
        <v>28</v>
      </c>
      <c r="G39" s="148">
        <v>2.3865698729582578</v>
      </c>
      <c r="H39" s="149" t="s">
        <v>1039</v>
      </c>
      <c r="I39" s="149">
        <v>1</v>
      </c>
      <c r="J39" s="151">
        <v>1</v>
      </c>
      <c r="K39" s="148">
        <f t="shared" si="1"/>
        <v>2.3865698729582578</v>
      </c>
      <c r="L39" s="14" t="s">
        <v>1040</v>
      </c>
      <c r="M39" s="14" t="s">
        <v>1041</v>
      </c>
      <c r="N39" s="14"/>
    </row>
    <row r="40" spans="1:14" ht="22.5" x14ac:dyDescent="0.25">
      <c r="A40" s="4" t="s">
        <v>922</v>
      </c>
      <c r="B40" s="4">
        <v>1.1000000000000001</v>
      </c>
      <c r="C40" s="4" t="s">
        <v>240</v>
      </c>
      <c r="D40" s="14" t="s">
        <v>1042</v>
      </c>
      <c r="E40" s="4" t="s">
        <v>28</v>
      </c>
      <c r="F40" s="4" t="s">
        <v>28</v>
      </c>
      <c r="G40" s="148">
        <v>1.9092558983666064</v>
      </c>
      <c r="H40" s="149" t="s">
        <v>967</v>
      </c>
      <c r="I40" s="149">
        <v>1</v>
      </c>
      <c r="J40" s="151">
        <f>220/90</f>
        <v>2.4444444444444446</v>
      </c>
      <c r="K40" s="148">
        <f t="shared" si="1"/>
        <v>0.78105923114997522</v>
      </c>
      <c r="L40" s="14" t="s">
        <v>1008</v>
      </c>
      <c r="M40" s="14" t="s">
        <v>1043</v>
      </c>
      <c r="N40" s="14"/>
    </row>
    <row r="41" spans="1:14" x14ac:dyDescent="0.25">
      <c r="A41" s="4" t="s">
        <v>922</v>
      </c>
      <c r="B41" s="4">
        <v>1.1000000000000001</v>
      </c>
      <c r="C41" s="4" t="s">
        <v>240</v>
      </c>
      <c r="D41" s="14" t="s">
        <v>1044</v>
      </c>
      <c r="E41" s="4" t="s">
        <v>28</v>
      </c>
      <c r="F41" s="4" t="s">
        <v>28</v>
      </c>
      <c r="G41" s="148">
        <v>0.36818806715063523</v>
      </c>
      <c r="H41" s="149" t="s">
        <v>1045</v>
      </c>
      <c r="I41" s="149">
        <v>1</v>
      </c>
      <c r="J41" s="151">
        <v>1</v>
      </c>
      <c r="K41" s="148">
        <f t="shared" si="1"/>
        <v>0.36818806715063523</v>
      </c>
      <c r="L41" s="14" t="s">
        <v>1046</v>
      </c>
      <c r="M41" s="14" t="s">
        <v>1047</v>
      </c>
      <c r="N41" s="14"/>
    </row>
    <row r="42" spans="1:14" x14ac:dyDescent="0.25">
      <c r="A42" s="4" t="s">
        <v>922</v>
      </c>
      <c r="B42" s="4">
        <v>1.1000000000000001</v>
      </c>
      <c r="C42" s="4" t="s">
        <v>240</v>
      </c>
      <c r="D42" s="14" t="s">
        <v>1048</v>
      </c>
      <c r="E42" s="4" t="s">
        <v>28</v>
      </c>
      <c r="F42" s="4" t="s">
        <v>28</v>
      </c>
      <c r="G42" s="148">
        <v>7.9950090744101643E-2</v>
      </c>
      <c r="H42" s="149" t="s">
        <v>1049</v>
      </c>
      <c r="I42" s="149">
        <v>1</v>
      </c>
      <c r="J42" s="151">
        <v>1</v>
      </c>
      <c r="K42" s="148">
        <f t="shared" si="1"/>
        <v>7.9950090744101643E-2</v>
      </c>
      <c r="L42" s="14" t="s">
        <v>1050</v>
      </c>
      <c r="M42" s="14" t="s">
        <v>1051</v>
      </c>
      <c r="N42" s="14"/>
    </row>
    <row r="43" spans="1:14" ht="22.5" x14ac:dyDescent="0.25">
      <c r="A43" s="4" t="s">
        <v>922</v>
      </c>
      <c r="B43" s="4">
        <v>1.1000000000000001</v>
      </c>
      <c r="C43" s="4" t="s">
        <v>240</v>
      </c>
      <c r="D43" s="14" t="s">
        <v>1052</v>
      </c>
      <c r="E43" s="4" t="s">
        <v>28</v>
      </c>
      <c r="F43" s="4" t="s">
        <v>28</v>
      </c>
      <c r="G43" s="148">
        <v>1.312613430127042</v>
      </c>
      <c r="H43" s="149" t="s">
        <v>1015</v>
      </c>
      <c r="I43" s="149">
        <v>1</v>
      </c>
      <c r="J43" s="151">
        <f>1000/360</f>
        <v>2.7777777777777777</v>
      </c>
      <c r="K43" s="148">
        <f t="shared" si="1"/>
        <v>0.47254083484573517</v>
      </c>
      <c r="L43" s="14" t="s">
        <v>1053</v>
      </c>
      <c r="M43" s="14" t="s">
        <v>1054</v>
      </c>
      <c r="N43" s="14"/>
    </row>
    <row r="44" spans="1:14" ht="22.5" x14ac:dyDescent="0.25">
      <c r="A44" s="4" t="s">
        <v>922</v>
      </c>
      <c r="B44" s="4">
        <v>1.1000000000000001</v>
      </c>
      <c r="C44" s="4" t="s">
        <v>240</v>
      </c>
      <c r="D44" s="14" t="s">
        <v>1055</v>
      </c>
      <c r="E44" s="4" t="s">
        <v>28</v>
      </c>
      <c r="F44" s="4" t="s">
        <v>28</v>
      </c>
      <c r="G44" s="148">
        <v>0.59664246823956446</v>
      </c>
      <c r="H44" s="149" t="s">
        <v>1056</v>
      </c>
      <c r="I44" s="149">
        <v>1</v>
      </c>
      <c r="J44" s="151">
        <v>2</v>
      </c>
      <c r="K44" s="148">
        <f t="shared" si="1"/>
        <v>0.29832123411978223</v>
      </c>
      <c r="L44" s="14" t="s">
        <v>1057</v>
      </c>
      <c r="M44" s="14" t="s">
        <v>1058</v>
      </c>
      <c r="N44" s="14"/>
    </row>
    <row r="45" spans="1:14" x14ac:dyDescent="0.25">
      <c r="A45" s="4" t="s">
        <v>922</v>
      </c>
      <c r="B45" s="4">
        <v>1.1000000000000001</v>
      </c>
      <c r="C45" s="4" t="s">
        <v>240</v>
      </c>
      <c r="D45" s="14" t="s">
        <v>1059</v>
      </c>
      <c r="E45" s="4" t="s">
        <v>28</v>
      </c>
      <c r="F45" s="4" t="s">
        <v>28</v>
      </c>
      <c r="G45" s="148">
        <v>1.312613430127042</v>
      </c>
      <c r="H45" s="149" t="s">
        <v>1060</v>
      </c>
      <c r="I45" s="149">
        <v>1</v>
      </c>
      <c r="J45" s="151">
        <f>700/330</f>
        <v>2.1212121212121211</v>
      </c>
      <c r="K45" s="148">
        <f t="shared" si="1"/>
        <v>0.61880347420274839</v>
      </c>
      <c r="L45" s="14" t="s">
        <v>1061</v>
      </c>
      <c r="M45" s="14" t="s">
        <v>1062</v>
      </c>
      <c r="N45" s="14"/>
    </row>
    <row r="46" spans="1:14" x14ac:dyDescent="0.25">
      <c r="A46" s="4" t="s">
        <v>922</v>
      </c>
      <c r="B46" s="4">
        <v>1.1000000000000001</v>
      </c>
      <c r="C46" s="4" t="s">
        <v>240</v>
      </c>
      <c r="D46" s="14" t="s">
        <v>1063</v>
      </c>
      <c r="E46" s="4" t="s">
        <v>1064</v>
      </c>
      <c r="F46" s="4" t="s">
        <v>28</v>
      </c>
      <c r="G46" s="148">
        <v>1.1932849364791289</v>
      </c>
      <c r="H46" s="149" t="s">
        <v>1065</v>
      </c>
      <c r="I46" s="149">
        <v>1</v>
      </c>
      <c r="J46" s="151">
        <v>1</v>
      </c>
      <c r="K46" s="148">
        <f t="shared" si="1"/>
        <v>1.1932849364791289</v>
      </c>
      <c r="L46" s="14" t="s">
        <v>968</v>
      </c>
      <c r="M46" s="14" t="s">
        <v>1066</v>
      </c>
      <c r="N46" s="14"/>
    </row>
    <row r="47" spans="1:14" ht="22.5" x14ac:dyDescent="0.25">
      <c r="A47" s="4" t="s">
        <v>922</v>
      </c>
      <c r="B47" s="4">
        <v>1.1000000000000001</v>
      </c>
      <c r="C47" s="4" t="s">
        <v>240</v>
      </c>
      <c r="D47" s="14" t="s">
        <v>1067</v>
      </c>
      <c r="E47" s="4" t="s">
        <v>28</v>
      </c>
      <c r="F47" s="4" t="s">
        <v>28</v>
      </c>
      <c r="G47" s="148">
        <v>0.51311252268602547</v>
      </c>
      <c r="H47" s="149">
        <v>1</v>
      </c>
      <c r="I47" s="149">
        <v>1</v>
      </c>
      <c r="J47" s="151">
        <v>2</v>
      </c>
      <c r="K47" s="148">
        <f t="shared" si="1"/>
        <v>0.25655626134301274</v>
      </c>
      <c r="L47" s="14" t="s">
        <v>1068</v>
      </c>
      <c r="M47" s="14" t="s">
        <v>1069</v>
      </c>
      <c r="N47" s="14"/>
    </row>
    <row r="48" spans="1:14" ht="22.5" x14ac:dyDescent="0.25">
      <c r="A48" s="4" t="s">
        <v>922</v>
      </c>
      <c r="B48" s="4">
        <v>1.1000000000000001</v>
      </c>
      <c r="C48" s="4" t="s">
        <v>240</v>
      </c>
      <c r="D48" s="14" t="s">
        <v>1070</v>
      </c>
      <c r="E48" s="4" t="s">
        <v>28</v>
      </c>
      <c r="F48" s="4" t="s">
        <v>28</v>
      </c>
      <c r="G48" s="148">
        <v>0.89496370235934664</v>
      </c>
      <c r="H48" s="149" t="s">
        <v>1035</v>
      </c>
      <c r="I48" s="149">
        <v>2</v>
      </c>
      <c r="J48" s="151">
        <f>720/510</f>
        <v>1.411764705882353</v>
      </c>
      <c r="K48" s="148">
        <f t="shared" si="1"/>
        <v>1.2678652450090744</v>
      </c>
      <c r="L48" s="14" t="s">
        <v>1071</v>
      </c>
      <c r="M48" s="2" t="s">
        <v>1072</v>
      </c>
      <c r="N48" s="14"/>
    </row>
    <row r="49" spans="1:14" ht="26.25" customHeight="1" x14ac:dyDescent="0.25">
      <c r="A49" s="4" t="s">
        <v>922</v>
      </c>
      <c r="B49" s="4">
        <v>1.1000000000000001</v>
      </c>
      <c r="C49" s="4" t="s">
        <v>240</v>
      </c>
      <c r="D49" s="14" t="s">
        <v>1073</v>
      </c>
      <c r="E49" s="4" t="s">
        <v>28</v>
      </c>
      <c r="F49" s="4" t="s">
        <v>28</v>
      </c>
      <c r="G49" s="148">
        <v>1.0858892921960073</v>
      </c>
      <c r="H49" s="149" t="s">
        <v>1074</v>
      </c>
      <c r="I49" s="149">
        <v>1</v>
      </c>
      <c r="J49" s="151">
        <f>2500/765</f>
        <v>3.2679738562091503</v>
      </c>
      <c r="K49" s="148">
        <f t="shared" si="1"/>
        <v>0.33228212341197821</v>
      </c>
      <c r="L49" s="14" t="s">
        <v>1075</v>
      </c>
      <c r="M49" s="14" t="s">
        <v>1076</v>
      </c>
      <c r="N49" s="14"/>
    </row>
    <row r="50" spans="1:14" ht="22.5" x14ac:dyDescent="0.25">
      <c r="A50" s="4" t="s">
        <v>922</v>
      </c>
      <c r="B50" s="4">
        <v>1.1000000000000001</v>
      </c>
      <c r="C50" s="4" t="s">
        <v>240</v>
      </c>
      <c r="D50" s="14" t="s">
        <v>1077</v>
      </c>
      <c r="E50" s="4" t="s">
        <v>28</v>
      </c>
      <c r="F50" s="4" t="s">
        <v>28</v>
      </c>
      <c r="G50" s="148">
        <v>0.2971279491833031</v>
      </c>
      <c r="H50" s="149" t="s">
        <v>1011</v>
      </c>
      <c r="I50" s="149">
        <v>1</v>
      </c>
      <c r="J50" s="151">
        <v>1</v>
      </c>
      <c r="K50" s="148">
        <f t="shared" si="1"/>
        <v>0.2971279491833031</v>
      </c>
      <c r="L50" s="14" t="s">
        <v>1078</v>
      </c>
      <c r="M50" s="14" t="s">
        <v>1079</v>
      </c>
      <c r="N50" s="14"/>
    </row>
    <row r="51" spans="1:14" x14ac:dyDescent="0.25">
      <c r="A51" s="4" t="s">
        <v>922</v>
      </c>
      <c r="B51" s="4">
        <v>1.1000000000000001</v>
      </c>
      <c r="C51" s="4" t="s">
        <v>240</v>
      </c>
      <c r="D51" s="14" t="s">
        <v>1080</v>
      </c>
      <c r="E51" s="4" t="s">
        <v>28</v>
      </c>
      <c r="F51" s="4" t="s">
        <v>28</v>
      </c>
      <c r="G51" s="148">
        <v>0.44151542649727771</v>
      </c>
      <c r="H51" s="149" t="s">
        <v>1081</v>
      </c>
      <c r="I51" s="149">
        <v>1</v>
      </c>
      <c r="J51" s="151">
        <f>100/72</f>
        <v>1.3888888888888888</v>
      </c>
      <c r="K51" s="148">
        <f t="shared" si="1"/>
        <v>0.31789110707803997</v>
      </c>
      <c r="L51" s="14" t="s">
        <v>1082</v>
      </c>
      <c r="M51" s="14" t="s">
        <v>1083</v>
      </c>
      <c r="N51" s="14"/>
    </row>
    <row r="52" spans="1:14" ht="22.5" x14ac:dyDescent="0.25">
      <c r="A52" s="4" t="s">
        <v>922</v>
      </c>
      <c r="B52" s="4">
        <v>1.1000000000000001</v>
      </c>
      <c r="C52" s="4" t="s">
        <v>240</v>
      </c>
      <c r="D52" s="14" t="s">
        <v>1084</v>
      </c>
      <c r="E52" s="4" t="s">
        <v>28</v>
      </c>
      <c r="F52" s="4" t="s">
        <v>28</v>
      </c>
      <c r="G52" s="148">
        <v>0.47731397459165159</v>
      </c>
      <c r="H52" s="149" t="s">
        <v>927</v>
      </c>
      <c r="I52" s="149">
        <v>1</v>
      </c>
      <c r="J52" s="151">
        <v>1</v>
      </c>
      <c r="K52" s="148">
        <f t="shared" si="1"/>
        <v>0.47731397459165159</v>
      </c>
      <c r="L52" s="14" t="s">
        <v>1085</v>
      </c>
      <c r="M52" s="14" t="s">
        <v>1086</v>
      </c>
      <c r="N52" s="14"/>
    </row>
    <row r="53" spans="1:14" ht="22.5" x14ac:dyDescent="0.25">
      <c r="A53" s="4" t="s">
        <v>922</v>
      </c>
      <c r="B53" s="4">
        <v>1.1000000000000001</v>
      </c>
      <c r="C53" s="4" t="s">
        <v>240</v>
      </c>
      <c r="D53" s="14" t="s">
        <v>1087</v>
      </c>
      <c r="E53" s="4" t="s">
        <v>28</v>
      </c>
      <c r="F53" s="4" t="s">
        <v>28</v>
      </c>
      <c r="G53" s="148">
        <v>0.34605263157894739</v>
      </c>
      <c r="H53" s="149">
        <v>1</v>
      </c>
      <c r="I53" s="149">
        <v>1</v>
      </c>
      <c r="J53" s="151">
        <v>1</v>
      </c>
      <c r="K53" s="148">
        <f t="shared" si="1"/>
        <v>0.34605263157894739</v>
      </c>
      <c r="L53" s="14" t="s">
        <v>1088</v>
      </c>
      <c r="M53" s="14" t="s">
        <v>1089</v>
      </c>
      <c r="N53" s="14"/>
    </row>
    <row r="54" spans="1:14" x14ac:dyDescent="0.25">
      <c r="A54" s="4" t="s">
        <v>922</v>
      </c>
      <c r="B54" s="4">
        <v>1.1000000000000001</v>
      </c>
      <c r="C54" s="4" t="s">
        <v>240</v>
      </c>
      <c r="D54" s="14" t="s">
        <v>1090</v>
      </c>
      <c r="E54" s="4" t="s">
        <v>28</v>
      </c>
      <c r="F54" s="4" t="s">
        <v>28</v>
      </c>
      <c r="G54" s="148">
        <v>0.57277676950998191</v>
      </c>
      <c r="H54" s="149">
        <v>1</v>
      </c>
      <c r="I54" s="149">
        <v>2</v>
      </c>
      <c r="J54" s="151">
        <v>1</v>
      </c>
      <c r="K54" s="149">
        <f t="shared" si="1"/>
        <v>1.1455535390199638</v>
      </c>
      <c r="L54" s="14" t="s">
        <v>1091</v>
      </c>
      <c r="M54" s="14" t="s">
        <v>1092</v>
      </c>
      <c r="N54" s="14"/>
    </row>
    <row r="55" spans="1:14" x14ac:dyDescent="0.25">
      <c r="A55" s="4" t="s">
        <v>922</v>
      </c>
      <c r="B55" s="4">
        <v>1.1000000000000001</v>
      </c>
      <c r="C55" s="4" t="s">
        <v>240</v>
      </c>
      <c r="D55" s="14" t="s">
        <v>1093</v>
      </c>
      <c r="E55" s="4" t="s">
        <v>28</v>
      </c>
      <c r="F55" s="4" t="s">
        <v>28</v>
      </c>
      <c r="G55" s="148">
        <v>0.57277676950998191</v>
      </c>
      <c r="H55" s="149">
        <v>1</v>
      </c>
      <c r="I55" s="149">
        <v>2</v>
      </c>
      <c r="J55" s="151">
        <v>1</v>
      </c>
      <c r="K55" s="149">
        <f t="shared" si="1"/>
        <v>1.1455535390199638</v>
      </c>
      <c r="L55" s="14" t="s">
        <v>1094</v>
      </c>
      <c r="M55" s="14" t="s">
        <v>1095</v>
      </c>
      <c r="N55" s="14"/>
    </row>
    <row r="56" spans="1:14" x14ac:dyDescent="0.25">
      <c r="A56" s="4" t="s">
        <v>922</v>
      </c>
      <c r="B56" s="4">
        <v>1.1000000000000001</v>
      </c>
      <c r="C56" s="4" t="s">
        <v>240</v>
      </c>
      <c r="D56" s="14" t="s">
        <v>1096</v>
      </c>
      <c r="E56" s="4" t="s">
        <v>28</v>
      </c>
      <c r="F56" s="4" t="s">
        <v>28</v>
      </c>
      <c r="G56" s="148">
        <v>1.0739564428312161</v>
      </c>
      <c r="H56" s="149" t="s">
        <v>1097</v>
      </c>
      <c r="I56" s="149">
        <v>1</v>
      </c>
      <c r="J56" s="151">
        <f>900/60</f>
        <v>15</v>
      </c>
      <c r="K56" s="149">
        <f t="shared" si="1"/>
        <v>7.1597096188747739E-2</v>
      </c>
      <c r="L56" s="14" t="s">
        <v>1098</v>
      </c>
      <c r="M56" s="14" t="s">
        <v>1099</v>
      </c>
      <c r="N56" s="14"/>
    </row>
    <row r="57" spans="1:14" x14ac:dyDescent="0.25">
      <c r="A57" s="4" t="s">
        <v>922</v>
      </c>
      <c r="B57" s="4">
        <v>1.1000000000000001</v>
      </c>
      <c r="C57" s="4" t="s">
        <v>240</v>
      </c>
      <c r="D57" s="14" t="s">
        <v>1100</v>
      </c>
      <c r="E57" s="4" t="s">
        <v>28</v>
      </c>
      <c r="F57" s="4" t="s">
        <v>28</v>
      </c>
      <c r="G57" s="148">
        <v>1.0142921960072595</v>
      </c>
      <c r="H57" s="149" t="s">
        <v>1101</v>
      </c>
      <c r="I57" s="149">
        <v>1</v>
      </c>
      <c r="J57" s="151">
        <f>11/1</f>
        <v>11</v>
      </c>
      <c r="K57" s="148">
        <f t="shared" si="1"/>
        <v>9.2208381455205407E-2</v>
      </c>
      <c r="L57" s="14" t="s">
        <v>1102</v>
      </c>
      <c r="M57" s="14" t="s">
        <v>1103</v>
      </c>
      <c r="N57" s="14"/>
    </row>
    <row r="58" spans="1:14" x14ac:dyDescent="0.25">
      <c r="A58" s="4" t="s">
        <v>922</v>
      </c>
      <c r="B58" s="4">
        <v>1.1000000000000001</v>
      </c>
      <c r="C58" s="4" t="s">
        <v>240</v>
      </c>
      <c r="D58" s="14" t="s">
        <v>1104</v>
      </c>
      <c r="E58" s="4" t="s">
        <v>28</v>
      </c>
      <c r="F58" s="4" t="s">
        <v>28</v>
      </c>
      <c r="G58" s="148">
        <v>0.95462794918330318</v>
      </c>
      <c r="H58" s="149" t="s">
        <v>1015</v>
      </c>
      <c r="I58" s="149">
        <v>1</v>
      </c>
      <c r="J58" s="151">
        <f>1000/80</f>
        <v>12.5</v>
      </c>
      <c r="K58" s="148">
        <f t="shared" si="1"/>
        <v>7.6370235934664257E-2</v>
      </c>
      <c r="L58" s="14" t="s">
        <v>1105</v>
      </c>
      <c r="M58" s="2" t="s">
        <v>1106</v>
      </c>
      <c r="N58" s="14"/>
    </row>
    <row r="59" spans="1:14" ht="22.5" x14ac:dyDescent="0.25">
      <c r="A59" s="4" t="s">
        <v>922</v>
      </c>
      <c r="B59" s="4">
        <v>1.1000000000000001</v>
      </c>
      <c r="C59" s="4" t="s">
        <v>240</v>
      </c>
      <c r="D59" s="14" t="s">
        <v>1107</v>
      </c>
      <c r="E59" s="4" t="s">
        <v>28</v>
      </c>
      <c r="F59" s="4" t="s">
        <v>28</v>
      </c>
      <c r="G59" s="148">
        <v>0.95462794918330318</v>
      </c>
      <c r="H59" s="149" t="s">
        <v>1097</v>
      </c>
      <c r="I59" s="149">
        <v>1</v>
      </c>
      <c r="J59" s="151">
        <f>900/170</f>
        <v>5.2941176470588234</v>
      </c>
      <c r="K59" s="148">
        <f t="shared" si="1"/>
        <v>0.18031861262351284</v>
      </c>
      <c r="L59" s="14" t="s">
        <v>1108</v>
      </c>
      <c r="M59" s="4" t="s">
        <v>1226</v>
      </c>
      <c r="N59" s="92"/>
    </row>
    <row r="60" spans="1:14" x14ac:dyDescent="0.25">
      <c r="A60" s="4" t="s">
        <v>922</v>
      </c>
      <c r="B60" s="4">
        <v>1.1000000000000001</v>
      </c>
      <c r="C60" s="4" t="s">
        <v>240</v>
      </c>
      <c r="D60" s="14" t="s">
        <v>1109</v>
      </c>
      <c r="E60" s="4" t="s">
        <v>28</v>
      </c>
      <c r="F60" s="4" t="s">
        <v>28</v>
      </c>
      <c r="G60" s="148">
        <v>1.312613430127042</v>
      </c>
      <c r="H60" s="149" t="s">
        <v>976</v>
      </c>
      <c r="I60" s="149">
        <v>1</v>
      </c>
      <c r="J60" s="151">
        <f>500/70</f>
        <v>7.1428571428571432</v>
      </c>
      <c r="K60" s="148">
        <f t="shared" si="1"/>
        <v>0.18376588021778587</v>
      </c>
      <c r="L60" s="14" t="s">
        <v>1110</v>
      </c>
      <c r="M60" s="14" t="s">
        <v>1111</v>
      </c>
      <c r="N60" s="14"/>
    </row>
    <row r="61" spans="1:14" x14ac:dyDescent="0.25">
      <c r="A61" s="4" t="s">
        <v>922</v>
      </c>
      <c r="B61" s="4">
        <v>1.1000000000000001</v>
      </c>
      <c r="C61" s="4" t="s">
        <v>240</v>
      </c>
      <c r="D61" s="14" t="s">
        <v>1112</v>
      </c>
      <c r="E61" s="4" t="s">
        <v>28</v>
      </c>
      <c r="F61" s="4" t="s">
        <v>28</v>
      </c>
      <c r="G61" s="148">
        <v>1.1932849364791289</v>
      </c>
      <c r="H61" s="149" t="s">
        <v>1097</v>
      </c>
      <c r="I61" s="149">
        <v>1</v>
      </c>
      <c r="J61" s="151">
        <f>900/69</f>
        <v>13.043478260869565</v>
      </c>
      <c r="K61" s="148">
        <f t="shared" si="1"/>
        <v>9.1485178463399888E-2</v>
      </c>
      <c r="L61" s="14" t="s">
        <v>1113</v>
      </c>
      <c r="M61" s="14" t="s">
        <v>1114</v>
      </c>
      <c r="N61" s="14"/>
    </row>
    <row r="62" spans="1:14" x14ac:dyDescent="0.25">
      <c r="A62" s="4" t="s">
        <v>922</v>
      </c>
      <c r="B62" s="4">
        <v>1.1000000000000001</v>
      </c>
      <c r="C62" s="4" t="s">
        <v>240</v>
      </c>
      <c r="D62" s="14" t="s">
        <v>1115</v>
      </c>
      <c r="E62" s="4" t="s">
        <v>28</v>
      </c>
      <c r="F62" s="4" t="s">
        <v>28</v>
      </c>
      <c r="G62" s="148">
        <v>1.4319419237749547</v>
      </c>
      <c r="H62" s="149" t="s">
        <v>1015</v>
      </c>
      <c r="I62" s="149">
        <v>1</v>
      </c>
      <c r="J62" s="151">
        <f>1000/84</f>
        <v>11.904761904761905</v>
      </c>
      <c r="K62" s="148">
        <f t="shared" si="1"/>
        <v>0.12028312159709618</v>
      </c>
      <c r="L62" s="14" t="s">
        <v>1116</v>
      </c>
      <c r="M62" s="14" t="s">
        <v>1117</v>
      </c>
      <c r="N62" s="14"/>
    </row>
    <row r="63" spans="1:14" x14ac:dyDescent="0.25">
      <c r="A63" s="4" t="s">
        <v>922</v>
      </c>
      <c r="B63" s="4">
        <v>1.1000000000000001</v>
      </c>
      <c r="C63" s="4" t="s">
        <v>240</v>
      </c>
      <c r="D63" s="14" t="s">
        <v>1118</v>
      </c>
      <c r="E63" s="4" t="s">
        <v>28</v>
      </c>
      <c r="F63" s="4" t="s">
        <v>28</v>
      </c>
      <c r="G63" s="148">
        <v>1.7779945553539021</v>
      </c>
      <c r="H63" s="149" t="s">
        <v>1015</v>
      </c>
      <c r="I63" s="149">
        <v>1</v>
      </c>
      <c r="J63" s="151">
        <f>1000/60</f>
        <v>16.666666666666668</v>
      </c>
      <c r="K63" s="148">
        <f t="shared" si="1"/>
        <v>0.10667967332123411</v>
      </c>
      <c r="L63" s="14" t="s">
        <v>1098</v>
      </c>
      <c r="M63" s="14" t="s">
        <v>1119</v>
      </c>
      <c r="N63" s="14"/>
    </row>
    <row r="64" spans="1:14" x14ac:dyDescent="0.25">
      <c r="A64" s="4" t="s">
        <v>922</v>
      </c>
      <c r="B64" s="4">
        <v>1.1000000000000001</v>
      </c>
      <c r="C64" s="4" t="s">
        <v>240</v>
      </c>
      <c r="D64" s="14" t="s">
        <v>1120</v>
      </c>
      <c r="E64" s="4" t="s">
        <v>28</v>
      </c>
      <c r="F64" s="4" t="s">
        <v>28</v>
      </c>
      <c r="G64" s="148">
        <v>0.8352994555353902</v>
      </c>
      <c r="H64" s="149" t="s">
        <v>976</v>
      </c>
      <c r="I64" s="149">
        <v>1</v>
      </c>
      <c r="J64" s="151">
        <f>500/87</f>
        <v>5.7471264367816088</v>
      </c>
      <c r="K64" s="148">
        <f t="shared" si="1"/>
        <v>0.14534210526315791</v>
      </c>
      <c r="L64" s="14" t="s">
        <v>1121</v>
      </c>
      <c r="M64" s="14" t="s">
        <v>1122</v>
      </c>
      <c r="N64" s="14"/>
    </row>
    <row r="65" spans="1:14" x14ac:dyDescent="0.25">
      <c r="A65" s="4" t="s">
        <v>922</v>
      </c>
      <c r="B65" s="4">
        <v>1.1000000000000001</v>
      </c>
      <c r="C65" s="4" t="s">
        <v>240</v>
      </c>
      <c r="D65" s="14" t="s">
        <v>1123</v>
      </c>
      <c r="E65" s="4" t="s">
        <v>28</v>
      </c>
      <c r="F65" s="4" t="s">
        <v>28</v>
      </c>
      <c r="G65" s="148">
        <v>0.8352994555353902</v>
      </c>
      <c r="H65" s="149" t="s">
        <v>976</v>
      </c>
      <c r="I65" s="149">
        <v>1</v>
      </c>
      <c r="J65" s="151">
        <f>500/52</f>
        <v>9.615384615384615</v>
      </c>
      <c r="K65" s="148">
        <f t="shared" si="1"/>
        <v>8.6871143375680582E-2</v>
      </c>
      <c r="L65" s="14" t="s">
        <v>1124</v>
      </c>
      <c r="M65" s="14" t="s">
        <v>1125</v>
      </c>
      <c r="N65" s="14"/>
    </row>
    <row r="66" spans="1:14" x14ac:dyDescent="0.25">
      <c r="A66" s="4" t="s">
        <v>922</v>
      </c>
      <c r="B66" s="4">
        <v>1.1000000000000001</v>
      </c>
      <c r="C66" s="4" t="s">
        <v>240</v>
      </c>
      <c r="D66" s="14" t="s">
        <v>1126</v>
      </c>
      <c r="E66" s="4" t="s">
        <v>28</v>
      </c>
      <c r="F66" s="4" t="s">
        <v>28</v>
      </c>
      <c r="G66" s="148">
        <v>0.82336660617059887</v>
      </c>
      <c r="H66" s="149" t="s">
        <v>1127</v>
      </c>
      <c r="I66" s="149">
        <v>1</v>
      </c>
      <c r="J66" s="151">
        <f>450/99</f>
        <v>4.5454545454545459</v>
      </c>
      <c r="K66" s="148">
        <f t="shared" si="1"/>
        <v>0.18114065335753174</v>
      </c>
      <c r="L66" s="14" t="s">
        <v>1128</v>
      </c>
      <c r="M66" s="14" t="s">
        <v>1129</v>
      </c>
      <c r="N66" s="14"/>
    </row>
    <row r="67" spans="1:14" x14ac:dyDescent="0.25">
      <c r="A67" s="4" t="s">
        <v>922</v>
      </c>
      <c r="B67" s="4">
        <v>1.1000000000000001</v>
      </c>
      <c r="C67" s="4" t="s">
        <v>240</v>
      </c>
      <c r="D67" s="14" t="s">
        <v>1130</v>
      </c>
      <c r="E67" s="4" t="s">
        <v>28</v>
      </c>
      <c r="F67" s="4" t="s">
        <v>28</v>
      </c>
      <c r="G67" s="148">
        <v>0.29832123411978223</v>
      </c>
      <c r="H67" s="149">
        <v>1</v>
      </c>
      <c r="I67" s="149">
        <v>1</v>
      </c>
      <c r="J67" s="151">
        <f>12/4</f>
        <v>3</v>
      </c>
      <c r="K67" s="148">
        <f t="shared" si="1"/>
        <v>9.9440411373260748E-2</v>
      </c>
      <c r="L67" s="14" t="s">
        <v>1131</v>
      </c>
      <c r="M67" s="14" t="s">
        <v>1132</v>
      </c>
      <c r="N67" s="14"/>
    </row>
    <row r="68" spans="1:14" x14ac:dyDescent="0.25">
      <c r="A68" s="4" t="s">
        <v>922</v>
      </c>
      <c r="B68" s="4">
        <v>1.1000000000000001</v>
      </c>
      <c r="C68" s="4" t="s">
        <v>240</v>
      </c>
      <c r="D68" s="14" t="s">
        <v>1133</v>
      </c>
      <c r="E68" s="4" t="s">
        <v>28</v>
      </c>
      <c r="F68" s="4" t="s">
        <v>28</v>
      </c>
      <c r="G68" s="148">
        <v>0.59664246823956446</v>
      </c>
      <c r="H68" s="149">
        <v>10</v>
      </c>
      <c r="I68" s="149">
        <v>1</v>
      </c>
      <c r="J68" s="151">
        <f>10/1</f>
        <v>10</v>
      </c>
      <c r="K68" s="148">
        <f t="shared" si="1"/>
        <v>5.9664246823956449E-2</v>
      </c>
      <c r="L68" s="14" t="s">
        <v>1134</v>
      </c>
      <c r="M68" s="14" t="s">
        <v>1135</v>
      </c>
      <c r="N68" s="14"/>
    </row>
    <row r="69" spans="1:14" x14ac:dyDescent="0.25">
      <c r="A69" s="4" t="s">
        <v>922</v>
      </c>
      <c r="B69" s="4">
        <v>1.1000000000000001</v>
      </c>
      <c r="C69" s="4" t="s">
        <v>240</v>
      </c>
      <c r="D69" s="14" t="s">
        <v>1136</v>
      </c>
      <c r="E69" s="4" t="s">
        <v>1137</v>
      </c>
      <c r="F69" s="4" t="s">
        <v>28</v>
      </c>
      <c r="G69" s="148">
        <v>1.7302631578947369</v>
      </c>
      <c r="H69" s="149">
        <v>8</v>
      </c>
      <c r="I69" s="149">
        <v>1</v>
      </c>
      <c r="J69" s="151">
        <f>8/1</f>
        <v>8</v>
      </c>
      <c r="K69" s="148">
        <f t="shared" si="1"/>
        <v>0.21628289473684212</v>
      </c>
      <c r="L69" s="14" t="s">
        <v>1134</v>
      </c>
      <c r="M69" s="14" t="s">
        <v>1138</v>
      </c>
      <c r="N69" s="14"/>
    </row>
    <row r="70" spans="1:14" x14ac:dyDescent="0.25">
      <c r="A70" s="4" t="s">
        <v>922</v>
      </c>
      <c r="B70" s="4">
        <v>1.1000000000000001</v>
      </c>
      <c r="C70" s="4" t="s">
        <v>240</v>
      </c>
      <c r="D70" s="14" t="s">
        <v>1139</v>
      </c>
      <c r="E70" s="4" t="s">
        <v>28</v>
      </c>
      <c r="F70" s="4" t="s">
        <v>28</v>
      </c>
      <c r="G70" s="148">
        <v>1.0142921960072595</v>
      </c>
      <c r="H70" s="149" t="s">
        <v>1140</v>
      </c>
      <c r="I70" s="149">
        <v>1</v>
      </c>
      <c r="J70" s="151">
        <f>34/0.5</f>
        <v>68</v>
      </c>
      <c r="K70" s="148">
        <f t="shared" ref="K70:K92" si="2">G70*I70/J70</f>
        <v>1.491606170598911E-2</v>
      </c>
      <c r="L70" s="14" t="s">
        <v>1141</v>
      </c>
      <c r="M70" s="14" t="s">
        <v>1142</v>
      </c>
      <c r="N70" s="14"/>
    </row>
    <row r="71" spans="1:14" x14ac:dyDescent="0.25">
      <c r="A71" s="4" t="s">
        <v>922</v>
      </c>
      <c r="B71" s="4">
        <v>1.1000000000000001</v>
      </c>
      <c r="C71" s="4" t="s">
        <v>240</v>
      </c>
      <c r="D71" s="14" t="s">
        <v>1143</v>
      </c>
      <c r="E71" s="4" t="s">
        <v>28</v>
      </c>
      <c r="F71" s="4" t="s">
        <v>28</v>
      </c>
      <c r="G71" s="148">
        <v>1.0142921960072595</v>
      </c>
      <c r="H71" s="149" t="s">
        <v>1144</v>
      </c>
      <c r="I71" s="149">
        <v>1</v>
      </c>
      <c r="J71" s="151">
        <f>33/0.5</f>
        <v>66</v>
      </c>
      <c r="K71" s="148">
        <f t="shared" si="2"/>
        <v>1.5368063575867568E-2</v>
      </c>
      <c r="L71" s="14" t="s">
        <v>1141</v>
      </c>
      <c r="M71" s="14" t="s">
        <v>1145</v>
      </c>
      <c r="N71" s="14"/>
    </row>
    <row r="72" spans="1:14" ht="22.5" x14ac:dyDescent="0.25">
      <c r="A72" s="4" t="s">
        <v>922</v>
      </c>
      <c r="B72" s="4">
        <v>1.1000000000000001</v>
      </c>
      <c r="C72" s="4" t="s">
        <v>240</v>
      </c>
      <c r="D72" s="14" t="s">
        <v>1146</v>
      </c>
      <c r="E72" s="4" t="s">
        <v>28</v>
      </c>
      <c r="F72" s="4" t="s">
        <v>28</v>
      </c>
      <c r="G72" s="148">
        <v>0.8352994555353902</v>
      </c>
      <c r="H72" s="149" t="s">
        <v>1147</v>
      </c>
      <c r="I72" s="149">
        <v>1</v>
      </c>
      <c r="J72" s="151">
        <v>15</v>
      </c>
      <c r="K72" s="148">
        <f t="shared" si="2"/>
        <v>5.5686630369026012E-2</v>
      </c>
      <c r="L72" s="14" t="s">
        <v>1148</v>
      </c>
      <c r="M72" s="2" t="s">
        <v>1149</v>
      </c>
      <c r="N72" s="14"/>
    </row>
    <row r="73" spans="1:14" x14ac:dyDescent="0.25">
      <c r="A73" s="4" t="s">
        <v>922</v>
      </c>
      <c r="B73" s="4">
        <v>1.1000000000000001</v>
      </c>
      <c r="C73" s="4" t="s">
        <v>240</v>
      </c>
      <c r="D73" s="14" t="s">
        <v>1150</v>
      </c>
      <c r="E73" s="4" t="s">
        <v>28</v>
      </c>
      <c r="F73" s="4" t="s">
        <v>28</v>
      </c>
      <c r="G73" s="148">
        <v>1.0142921960072595</v>
      </c>
      <c r="H73" s="149" t="s">
        <v>1151</v>
      </c>
      <c r="I73" s="149">
        <v>1</v>
      </c>
      <c r="J73" s="151">
        <f>18/1.5</f>
        <v>12</v>
      </c>
      <c r="K73" s="148">
        <f t="shared" si="2"/>
        <v>8.4524349667271625E-2</v>
      </c>
      <c r="L73" s="14" t="s">
        <v>1152</v>
      </c>
      <c r="M73" s="14" t="s">
        <v>1153</v>
      </c>
      <c r="N73" s="14"/>
    </row>
    <row r="74" spans="1:14" ht="22.5" x14ac:dyDescent="0.25">
      <c r="A74" s="4" t="s">
        <v>922</v>
      </c>
      <c r="B74" s="4">
        <v>1.1000000000000001</v>
      </c>
      <c r="C74" s="4" t="s">
        <v>240</v>
      </c>
      <c r="D74" s="14" t="s">
        <v>1154</v>
      </c>
      <c r="E74" s="4" t="s">
        <v>28</v>
      </c>
      <c r="F74" s="4" t="s">
        <v>28</v>
      </c>
      <c r="G74" s="148">
        <v>1.7302631578947369</v>
      </c>
      <c r="H74" s="149" t="s">
        <v>1155</v>
      </c>
      <c r="I74" s="149">
        <v>1</v>
      </c>
      <c r="J74" s="151">
        <f>365/7</f>
        <v>52.142857142857146</v>
      </c>
      <c r="K74" s="148">
        <f t="shared" si="2"/>
        <v>3.3183129055515501E-2</v>
      </c>
      <c r="L74" s="14" t="s">
        <v>1156</v>
      </c>
      <c r="M74" s="14" t="s">
        <v>1157</v>
      </c>
      <c r="N74" s="14"/>
    </row>
    <row r="75" spans="1:14" ht="36" customHeight="1" x14ac:dyDescent="0.25">
      <c r="A75" s="4" t="s">
        <v>922</v>
      </c>
      <c r="B75" s="4">
        <v>1.1000000000000001</v>
      </c>
      <c r="C75" s="4" t="s">
        <v>240</v>
      </c>
      <c r="D75" s="14" t="s">
        <v>1158</v>
      </c>
      <c r="E75" s="4" t="s">
        <v>28</v>
      </c>
      <c r="F75" s="4" t="s">
        <v>28</v>
      </c>
      <c r="G75" s="148">
        <v>0.47731397459165159</v>
      </c>
      <c r="H75" s="149" t="s">
        <v>927</v>
      </c>
      <c r="I75" s="149">
        <v>1</v>
      </c>
      <c r="J75" s="151">
        <f>365/84</f>
        <v>4.3452380952380949</v>
      </c>
      <c r="K75" s="148">
        <f t="shared" si="2"/>
        <v>0.10984759963205133</v>
      </c>
      <c r="L75" s="14" t="s">
        <v>1159</v>
      </c>
      <c r="M75" s="2" t="s">
        <v>1160</v>
      </c>
      <c r="N75" s="14"/>
    </row>
    <row r="76" spans="1:14" ht="22.5" x14ac:dyDescent="0.25">
      <c r="A76" s="4" t="s">
        <v>922</v>
      </c>
      <c r="B76" s="4">
        <v>1.1000000000000001</v>
      </c>
      <c r="C76" s="4" t="s">
        <v>240</v>
      </c>
      <c r="D76" s="14" t="s">
        <v>1161</v>
      </c>
      <c r="E76" s="4" t="s">
        <v>28</v>
      </c>
      <c r="F76" s="4" t="s">
        <v>28</v>
      </c>
      <c r="G76" s="148">
        <v>0.95462794918330318</v>
      </c>
      <c r="H76" s="149" t="s">
        <v>1162</v>
      </c>
      <c r="I76" s="149">
        <v>1</v>
      </c>
      <c r="J76" s="151">
        <f>365/84*3</f>
        <v>13.035714285714285</v>
      </c>
      <c r="K76" s="148">
        <f t="shared" si="2"/>
        <v>7.3231733088034226E-2</v>
      </c>
      <c r="L76" s="14" t="s">
        <v>1163</v>
      </c>
      <c r="M76" s="14" t="s">
        <v>1164</v>
      </c>
      <c r="N76" s="14"/>
    </row>
    <row r="77" spans="1:14" x14ac:dyDescent="0.25">
      <c r="A77" s="4" t="s">
        <v>922</v>
      </c>
      <c r="B77" s="4">
        <v>1.1000000000000001</v>
      </c>
      <c r="C77" s="4" t="s">
        <v>240</v>
      </c>
      <c r="D77" s="14" t="s">
        <v>1165</v>
      </c>
      <c r="E77" s="4" t="s">
        <v>28</v>
      </c>
      <c r="F77" s="4" t="s">
        <v>28</v>
      </c>
      <c r="G77" s="148">
        <v>1.1932849364791289</v>
      </c>
      <c r="H77" s="149" t="s">
        <v>927</v>
      </c>
      <c r="I77" s="149">
        <v>1</v>
      </c>
      <c r="J77" s="151">
        <v>1</v>
      </c>
      <c r="K77" s="148">
        <f t="shared" si="2"/>
        <v>1.1932849364791289</v>
      </c>
      <c r="L77" s="14" t="s">
        <v>1016</v>
      </c>
      <c r="M77" s="14" t="s">
        <v>1166</v>
      </c>
      <c r="N77" s="14"/>
    </row>
    <row r="78" spans="1:14" x14ac:dyDescent="0.25">
      <c r="A78" s="4" t="s">
        <v>922</v>
      </c>
      <c r="B78" s="4">
        <v>1.1000000000000001</v>
      </c>
      <c r="C78" s="4" t="s">
        <v>240</v>
      </c>
      <c r="D78" s="14" t="s">
        <v>1167</v>
      </c>
      <c r="E78" s="4" t="s">
        <v>28</v>
      </c>
      <c r="F78" s="4" t="s">
        <v>28</v>
      </c>
      <c r="G78" s="148">
        <v>0.53697822141560803</v>
      </c>
      <c r="H78" s="149" t="s">
        <v>1168</v>
      </c>
      <c r="I78" s="149">
        <v>1</v>
      </c>
      <c r="J78" s="151">
        <v>1</v>
      </c>
      <c r="K78" s="148">
        <f t="shared" si="2"/>
        <v>0.53697822141560803</v>
      </c>
      <c r="L78" s="14" t="s">
        <v>1169</v>
      </c>
      <c r="M78" s="14" t="s">
        <v>1170</v>
      </c>
      <c r="N78" s="14"/>
    </row>
    <row r="79" spans="1:14" x14ac:dyDescent="0.25">
      <c r="A79" s="4" t="s">
        <v>922</v>
      </c>
      <c r="B79" s="4">
        <v>1.1000000000000001</v>
      </c>
      <c r="C79" s="4" t="s">
        <v>240</v>
      </c>
      <c r="D79" s="14" t="s">
        <v>1171</v>
      </c>
      <c r="E79" s="4" t="s">
        <v>28</v>
      </c>
      <c r="F79" s="4" t="s">
        <v>28</v>
      </c>
      <c r="G79" s="148">
        <v>0.8352994555353902</v>
      </c>
      <c r="H79" s="149" t="s">
        <v>976</v>
      </c>
      <c r="I79" s="149">
        <v>1</v>
      </c>
      <c r="J79" s="151">
        <v>2</v>
      </c>
      <c r="K79" s="148">
        <f t="shared" si="2"/>
        <v>0.4176497277676951</v>
      </c>
      <c r="L79" s="14" t="s">
        <v>1019</v>
      </c>
      <c r="M79" s="2" t="s">
        <v>1172</v>
      </c>
      <c r="N79" s="92"/>
    </row>
    <row r="80" spans="1:14" ht="22.5" x14ac:dyDescent="0.25">
      <c r="A80" s="4" t="s">
        <v>922</v>
      </c>
      <c r="B80" s="4">
        <v>1.1000000000000001</v>
      </c>
      <c r="C80" s="4" t="s">
        <v>240</v>
      </c>
      <c r="D80" s="14" t="s">
        <v>1173</v>
      </c>
      <c r="E80" s="4" t="s">
        <v>1174</v>
      </c>
      <c r="F80" s="4" t="s">
        <v>28</v>
      </c>
      <c r="G80" s="148">
        <v>0.53697822141560803</v>
      </c>
      <c r="H80" s="149" t="s">
        <v>1175</v>
      </c>
      <c r="I80" s="149">
        <v>1</v>
      </c>
      <c r="J80" s="151">
        <v>2</v>
      </c>
      <c r="K80" s="148">
        <f t="shared" si="2"/>
        <v>0.26848911070780401</v>
      </c>
      <c r="L80" s="14" t="s">
        <v>1176</v>
      </c>
      <c r="M80" s="14" t="s">
        <v>1177</v>
      </c>
      <c r="N80" s="14"/>
    </row>
    <row r="81" spans="1:22" x14ac:dyDescent="0.25">
      <c r="A81" s="4" t="s">
        <v>922</v>
      </c>
      <c r="B81" s="4">
        <v>1.1000000000000001</v>
      </c>
      <c r="C81" s="4" t="s">
        <v>240</v>
      </c>
      <c r="D81" s="14" t="s">
        <v>1178</v>
      </c>
      <c r="E81" s="4" t="s">
        <v>28</v>
      </c>
      <c r="F81" s="4" t="s">
        <v>28</v>
      </c>
      <c r="G81" s="148">
        <v>0.8352994555353902</v>
      </c>
      <c r="H81" s="149" t="s">
        <v>927</v>
      </c>
      <c r="I81" s="149">
        <v>1</v>
      </c>
      <c r="J81" s="151">
        <f>200/10</f>
        <v>20</v>
      </c>
      <c r="K81" s="148">
        <f t="shared" si="2"/>
        <v>4.1764972776769507E-2</v>
      </c>
      <c r="L81" s="14" t="s">
        <v>1179</v>
      </c>
      <c r="M81" s="14" t="s">
        <v>1180</v>
      </c>
      <c r="N81" s="14"/>
    </row>
    <row r="82" spans="1:22" ht="22.5" x14ac:dyDescent="0.25">
      <c r="A82" s="4" t="s">
        <v>922</v>
      </c>
      <c r="B82" s="4">
        <v>1.1000000000000001</v>
      </c>
      <c r="C82" s="4" t="s">
        <v>240</v>
      </c>
      <c r="D82" s="14" t="s">
        <v>1181</v>
      </c>
      <c r="E82" s="4" t="s">
        <v>28</v>
      </c>
      <c r="F82" s="4" t="s">
        <v>28</v>
      </c>
      <c r="G82" s="148">
        <v>1.4916061705989112</v>
      </c>
      <c r="H82" s="149" t="s">
        <v>1015</v>
      </c>
      <c r="I82" s="149">
        <v>1</v>
      </c>
      <c r="J82" s="151">
        <f>1000/59</f>
        <v>16.949152542372882</v>
      </c>
      <c r="K82" s="148">
        <f t="shared" si="2"/>
        <v>8.800476406533575E-2</v>
      </c>
      <c r="L82" s="14" t="s">
        <v>1182</v>
      </c>
      <c r="M82" s="14" t="s">
        <v>1183</v>
      </c>
      <c r="N82" s="14"/>
    </row>
    <row r="83" spans="1:22" x14ac:dyDescent="0.25">
      <c r="A83" s="4" t="s">
        <v>922</v>
      </c>
      <c r="B83" s="4">
        <v>1.1000000000000001</v>
      </c>
      <c r="C83" s="4" t="s">
        <v>240</v>
      </c>
      <c r="D83" s="14" t="s">
        <v>1184</v>
      </c>
      <c r="E83" s="4" t="s">
        <v>1185</v>
      </c>
      <c r="F83" s="4" t="s">
        <v>28</v>
      </c>
      <c r="G83" s="148">
        <v>1.9092558983666064</v>
      </c>
      <c r="H83" s="149" t="s">
        <v>1186</v>
      </c>
      <c r="I83" s="149">
        <v>1</v>
      </c>
      <c r="J83" s="151">
        <f>350/7</f>
        <v>50</v>
      </c>
      <c r="K83" s="148">
        <f t="shared" si="2"/>
        <v>3.8185117967332129E-2</v>
      </c>
      <c r="L83" s="14" t="s">
        <v>1187</v>
      </c>
      <c r="M83" s="14" t="s">
        <v>1188</v>
      </c>
      <c r="N83" s="14"/>
    </row>
    <row r="84" spans="1:22" x14ac:dyDescent="0.25">
      <c r="A84" s="4" t="s">
        <v>922</v>
      </c>
      <c r="B84" s="4">
        <v>1.1000000000000001</v>
      </c>
      <c r="C84" s="4" t="s">
        <v>240</v>
      </c>
      <c r="D84" s="14" t="s">
        <v>1189</v>
      </c>
      <c r="E84" s="4" t="s">
        <v>28</v>
      </c>
      <c r="F84" s="4" t="s">
        <v>28</v>
      </c>
      <c r="G84" s="148">
        <v>0.89496370235934664</v>
      </c>
      <c r="H84" s="149" t="s">
        <v>1190</v>
      </c>
      <c r="I84" s="149">
        <v>1</v>
      </c>
      <c r="J84" s="151">
        <f>450/50</f>
        <v>9</v>
      </c>
      <c r="K84" s="148">
        <f t="shared" si="2"/>
        <v>9.9440411373260734E-2</v>
      </c>
      <c r="L84" s="14" t="s">
        <v>1191</v>
      </c>
      <c r="M84" s="14" t="s">
        <v>1192</v>
      </c>
      <c r="N84" s="14"/>
    </row>
    <row r="85" spans="1:22" ht="15" customHeight="1" x14ac:dyDescent="0.25">
      <c r="A85" s="4" t="s">
        <v>922</v>
      </c>
      <c r="B85" s="4">
        <v>1.1000000000000001</v>
      </c>
      <c r="C85" s="4" t="s">
        <v>240</v>
      </c>
      <c r="D85" s="14" t="s">
        <v>1193</v>
      </c>
      <c r="E85" s="4" t="s">
        <v>1194</v>
      </c>
      <c r="F85" s="4" t="s">
        <v>28</v>
      </c>
      <c r="G85" s="148">
        <v>2.1479128856624321</v>
      </c>
      <c r="H85" s="149" t="s">
        <v>1015</v>
      </c>
      <c r="I85" s="149">
        <v>1</v>
      </c>
      <c r="J85" s="151">
        <f>1000/52</f>
        <v>19.23076923076923</v>
      </c>
      <c r="K85" s="148">
        <f t="shared" si="2"/>
        <v>0.11169147005444648</v>
      </c>
      <c r="L85" s="14" t="s">
        <v>1195</v>
      </c>
      <c r="M85" s="14" t="s">
        <v>1196</v>
      </c>
      <c r="N85" s="14"/>
    </row>
    <row r="86" spans="1:22" x14ac:dyDescent="0.25">
      <c r="A86" s="4" t="s">
        <v>922</v>
      </c>
      <c r="B86" s="4">
        <v>1.1000000000000001</v>
      </c>
      <c r="C86" s="4" t="s">
        <v>240</v>
      </c>
      <c r="D86" s="14" t="s">
        <v>1197</v>
      </c>
      <c r="E86" s="4" t="s">
        <v>1198</v>
      </c>
      <c r="F86" s="4" t="s">
        <v>28</v>
      </c>
      <c r="G86" s="148">
        <v>2.0882486388384756</v>
      </c>
      <c r="H86" s="149" t="s">
        <v>1015</v>
      </c>
      <c r="I86" s="149">
        <v>1</v>
      </c>
      <c r="J86" s="151">
        <f>1000/50</f>
        <v>20</v>
      </c>
      <c r="K86" s="148">
        <f t="shared" si="2"/>
        <v>0.10441243194192378</v>
      </c>
      <c r="L86" s="14" t="s">
        <v>1191</v>
      </c>
      <c r="M86" s="14" t="s">
        <v>1199</v>
      </c>
      <c r="N86" s="14"/>
    </row>
    <row r="87" spans="1:22" x14ac:dyDescent="0.25">
      <c r="A87" s="4" t="s">
        <v>922</v>
      </c>
      <c r="B87" s="4">
        <v>1.1000000000000001</v>
      </c>
      <c r="C87" s="4" t="s">
        <v>240</v>
      </c>
      <c r="D87" s="14" t="s">
        <v>1200</v>
      </c>
      <c r="E87" s="4" t="s">
        <v>28</v>
      </c>
      <c r="F87" s="4" t="s">
        <v>28</v>
      </c>
      <c r="G87" s="148">
        <v>0.8352994555353902</v>
      </c>
      <c r="H87" s="149" t="s">
        <v>1201</v>
      </c>
      <c r="I87" s="149">
        <v>1</v>
      </c>
      <c r="J87" s="151">
        <f>1500/90</f>
        <v>16.666666666666668</v>
      </c>
      <c r="K87" s="148">
        <f t="shared" si="2"/>
        <v>5.0117967332123411E-2</v>
      </c>
      <c r="L87" s="14" t="s">
        <v>1008</v>
      </c>
      <c r="M87" s="14" t="s">
        <v>1202</v>
      </c>
      <c r="N87" s="14"/>
    </row>
    <row r="88" spans="1:22" x14ac:dyDescent="0.25">
      <c r="A88" s="4" t="s">
        <v>922</v>
      </c>
      <c r="B88" s="4">
        <v>1.1000000000000001</v>
      </c>
      <c r="C88" s="4" t="s">
        <v>240</v>
      </c>
      <c r="D88" s="14" t="s">
        <v>1203</v>
      </c>
      <c r="E88" s="4" t="s">
        <v>28</v>
      </c>
      <c r="F88" s="4" t="s">
        <v>28</v>
      </c>
      <c r="G88" s="148">
        <v>1.5512704174228678</v>
      </c>
      <c r="H88" s="149" t="s">
        <v>976</v>
      </c>
      <c r="I88" s="149">
        <v>1</v>
      </c>
      <c r="J88" s="151">
        <f>500/50</f>
        <v>10</v>
      </c>
      <c r="K88" s="148">
        <f t="shared" si="2"/>
        <v>0.15512704174228678</v>
      </c>
      <c r="L88" s="14" t="s">
        <v>1191</v>
      </c>
      <c r="M88" s="14" t="s">
        <v>1204</v>
      </c>
      <c r="N88" s="14"/>
    </row>
    <row r="89" spans="1:22" ht="22.5" x14ac:dyDescent="0.25">
      <c r="A89" s="4" t="s">
        <v>922</v>
      </c>
      <c r="B89" s="4">
        <v>1.1000000000000001</v>
      </c>
      <c r="C89" s="4" t="s">
        <v>240</v>
      </c>
      <c r="D89" s="14" t="s">
        <v>1205</v>
      </c>
      <c r="E89" s="4" t="s">
        <v>1206</v>
      </c>
      <c r="F89" s="4" t="s">
        <v>28</v>
      </c>
      <c r="G89" s="148">
        <v>0.62050816696914701</v>
      </c>
      <c r="H89" s="149" t="s">
        <v>1065</v>
      </c>
      <c r="I89" s="149">
        <v>1</v>
      </c>
      <c r="J89" s="151">
        <f>365/84*6</f>
        <v>26.071428571428569</v>
      </c>
      <c r="K89" s="148">
        <f t="shared" si="2"/>
        <v>2.3800313253611122E-2</v>
      </c>
      <c r="L89" s="14" t="s">
        <v>1207</v>
      </c>
      <c r="M89" s="14" t="s">
        <v>1208</v>
      </c>
      <c r="N89" s="14"/>
    </row>
    <row r="90" spans="1:22" x14ac:dyDescent="0.25">
      <c r="A90" s="4" t="s">
        <v>922</v>
      </c>
      <c r="B90" s="4">
        <v>1.1000000000000001</v>
      </c>
      <c r="C90" s="4" t="s">
        <v>240</v>
      </c>
      <c r="D90" s="14" t="s">
        <v>1209</v>
      </c>
      <c r="E90" s="4" t="s">
        <v>28</v>
      </c>
      <c r="F90" s="4" t="s">
        <v>28</v>
      </c>
      <c r="G90" s="148">
        <v>2.028584392014519</v>
      </c>
      <c r="H90" s="149" t="s">
        <v>976</v>
      </c>
      <c r="I90" s="149">
        <v>1</v>
      </c>
      <c r="J90" s="151">
        <f>500/50</f>
        <v>10</v>
      </c>
      <c r="K90" s="148">
        <f t="shared" si="2"/>
        <v>0.20285843920145191</v>
      </c>
      <c r="L90" s="14" t="s">
        <v>1191</v>
      </c>
      <c r="M90" s="14" t="s">
        <v>1210</v>
      </c>
      <c r="N90" s="14"/>
    </row>
    <row r="91" spans="1:22" ht="22.5" x14ac:dyDescent="0.25">
      <c r="A91" s="4" t="s">
        <v>922</v>
      </c>
      <c r="B91" s="4">
        <v>1.1000000000000001</v>
      </c>
      <c r="C91" s="4" t="s">
        <v>240</v>
      </c>
      <c r="D91" s="14" t="s">
        <v>1211</v>
      </c>
      <c r="E91" s="4" t="s">
        <v>1212</v>
      </c>
      <c r="F91" s="4" t="s">
        <v>28</v>
      </c>
      <c r="G91" s="148">
        <v>2.6848911070780401</v>
      </c>
      <c r="H91" s="149">
        <v>6</v>
      </c>
      <c r="I91" s="149">
        <v>1</v>
      </c>
      <c r="J91" s="151">
        <v>3</v>
      </c>
      <c r="K91" s="148">
        <f t="shared" si="2"/>
        <v>0.89496370235934675</v>
      </c>
      <c r="L91" s="14" t="s">
        <v>1213</v>
      </c>
      <c r="M91" s="14" t="s">
        <v>1214</v>
      </c>
      <c r="N91" s="14"/>
    </row>
    <row r="92" spans="1:22" s="38" customFormat="1" x14ac:dyDescent="0.25">
      <c r="A92" s="18" t="s">
        <v>922</v>
      </c>
      <c r="B92" s="18">
        <v>1.1000000000000001</v>
      </c>
      <c r="C92" s="4" t="s">
        <v>240</v>
      </c>
      <c r="D92" s="14" t="s">
        <v>1215</v>
      </c>
      <c r="E92" s="14"/>
      <c r="F92" s="18" t="s">
        <v>28</v>
      </c>
      <c r="G92" s="148">
        <v>41.764972776769511</v>
      </c>
      <c r="H92" s="29"/>
      <c r="I92" s="29">
        <v>1</v>
      </c>
      <c r="J92" s="152">
        <f>365/7</f>
        <v>52.142857142857146</v>
      </c>
      <c r="K92" s="16">
        <f t="shared" si="2"/>
        <v>0.80097208065037417</v>
      </c>
      <c r="L92" s="14"/>
      <c r="M92" s="14" t="s">
        <v>1216</v>
      </c>
      <c r="N92" s="4"/>
      <c r="O92"/>
      <c r="P92"/>
      <c r="Q92"/>
      <c r="R92"/>
      <c r="S92"/>
      <c r="T92"/>
      <c r="U92"/>
      <c r="V92"/>
    </row>
    <row r="93" spans="1:22" s="38" customFormat="1" x14ac:dyDescent="0.25">
      <c r="A93" s="18" t="s">
        <v>922</v>
      </c>
      <c r="B93" s="18">
        <v>1.1000000000000001</v>
      </c>
      <c r="C93" s="4" t="s">
        <v>240</v>
      </c>
      <c r="D93" s="14" t="s">
        <v>1217</v>
      </c>
      <c r="E93" s="14"/>
      <c r="F93" s="18"/>
      <c r="G93" s="148">
        <v>59.664246823956447</v>
      </c>
      <c r="H93" s="16"/>
      <c r="I93" s="29">
        <v>1</v>
      </c>
      <c r="J93" s="152">
        <f>365/7</f>
        <v>52.142857142857146</v>
      </c>
      <c r="K93" s="16">
        <f>(G93*I93)/J93</f>
        <v>1.1442458295005344</v>
      </c>
      <c r="L93" s="14"/>
      <c r="M93" s="14" t="s">
        <v>1218</v>
      </c>
      <c r="N93" s="4"/>
      <c r="O93"/>
      <c r="P93"/>
      <c r="Q93"/>
      <c r="R93"/>
      <c r="S93"/>
      <c r="T93"/>
      <c r="U93"/>
      <c r="V93"/>
    </row>
    <row r="94" spans="1:22" s="38" customFormat="1" ht="67.5" x14ac:dyDescent="0.25">
      <c r="A94" s="14" t="s">
        <v>1219</v>
      </c>
      <c r="B94" s="14">
        <v>11.1</v>
      </c>
      <c r="C94" s="4" t="s">
        <v>240</v>
      </c>
      <c r="D94" s="14" t="s">
        <v>1220</v>
      </c>
      <c r="E94" s="14"/>
      <c r="F94" s="14"/>
      <c r="G94" s="148">
        <v>23.321074918566776</v>
      </c>
      <c r="H94" s="150"/>
      <c r="I94" s="150">
        <v>1</v>
      </c>
      <c r="J94" s="153">
        <f>365/84</f>
        <v>4.3452380952380949</v>
      </c>
      <c r="K94" s="16">
        <f>(G94*I94)/J94</f>
        <v>5.3670418990674227</v>
      </c>
      <c r="L94" s="89" t="s">
        <v>1221</v>
      </c>
      <c r="M94" s="14" t="s">
        <v>1222</v>
      </c>
      <c r="N94" s="4"/>
      <c r="O94"/>
      <c r="P94"/>
      <c r="Q94"/>
      <c r="R94"/>
      <c r="S94"/>
      <c r="T94"/>
      <c r="U94"/>
      <c r="V94"/>
    </row>
    <row r="95" spans="1:22" s="38" customFormat="1" ht="45" x14ac:dyDescent="0.25">
      <c r="A95" s="14" t="s">
        <v>1219</v>
      </c>
      <c r="B95" s="14">
        <v>11.1</v>
      </c>
      <c r="C95" s="4" t="s">
        <v>240</v>
      </c>
      <c r="D95" s="14" t="s">
        <v>1223</v>
      </c>
      <c r="E95" s="14"/>
      <c r="F95" s="14"/>
      <c r="G95" s="148">
        <v>13.616710097719871</v>
      </c>
      <c r="H95" s="150"/>
      <c r="I95" s="150">
        <v>1</v>
      </c>
      <c r="J95" s="153">
        <v>2</v>
      </c>
      <c r="K95" s="16">
        <f>(G95*I95)/J95</f>
        <v>6.8083550488599354</v>
      </c>
      <c r="L95" s="89" t="s">
        <v>1224</v>
      </c>
      <c r="M95" s="55" t="s">
        <v>1225</v>
      </c>
      <c r="N95" s="4"/>
      <c r="O95"/>
      <c r="P95"/>
      <c r="Q95"/>
      <c r="R95"/>
      <c r="S95"/>
      <c r="T95"/>
      <c r="U95"/>
      <c r="V95"/>
    </row>
    <row r="96" spans="1:22" x14ac:dyDescent="0.25">
      <c r="K96" s="112"/>
    </row>
    <row r="97" spans="1:22" s="38" customFormat="1" x14ac:dyDescent="0.25">
      <c r="A97" s="4"/>
      <c r="B97" s="4"/>
      <c r="C97" s="4"/>
      <c r="D97" s="141" t="s">
        <v>1277</v>
      </c>
      <c r="E97" s="90">
        <f>SUM(K6:K93)</f>
        <v>51.601793298095018</v>
      </c>
      <c r="J97" s="90"/>
      <c r="K97" s="87"/>
      <c r="L97" s="14"/>
      <c r="M97" s="14"/>
      <c r="N97" s="4"/>
      <c r="O97"/>
      <c r="P97"/>
      <c r="Q97"/>
      <c r="R97"/>
      <c r="S97"/>
      <c r="T97"/>
      <c r="U97"/>
      <c r="V97"/>
    </row>
    <row r="98" spans="1:22" s="38" customFormat="1" x14ac:dyDescent="0.25">
      <c r="A98" s="4"/>
      <c r="B98" s="4"/>
      <c r="C98" s="4"/>
      <c r="D98" s="141" t="s">
        <v>1278</v>
      </c>
      <c r="E98" s="90">
        <f>SUM(K94:K95)</f>
        <v>12.175396947927357</v>
      </c>
      <c r="J98" s="90"/>
      <c r="K98" s="87"/>
      <c r="L98" s="14"/>
      <c r="M98" s="14"/>
      <c r="N98" s="4"/>
      <c r="O98"/>
      <c r="P98"/>
      <c r="Q98"/>
      <c r="R98"/>
      <c r="S98"/>
      <c r="T98"/>
      <c r="U98"/>
      <c r="V98"/>
    </row>
    <row r="99" spans="1:22" s="38" customFormat="1" x14ac:dyDescent="0.25">
      <c r="A99" s="4"/>
      <c r="B99" s="4"/>
      <c r="C99" s="4"/>
      <c r="D99" s="14"/>
      <c r="K99" s="87"/>
      <c r="L99" s="14"/>
      <c r="M99" s="14"/>
      <c r="N99" s="4"/>
      <c r="O99"/>
      <c r="P99"/>
      <c r="Q99"/>
      <c r="R99"/>
      <c r="S99"/>
      <c r="T99"/>
      <c r="U99"/>
      <c r="V99"/>
    </row>
    <row r="100" spans="1:22" s="38" customFormat="1" x14ac:dyDescent="0.25">
      <c r="A100" s="4"/>
      <c r="B100" s="4"/>
      <c r="C100" s="4"/>
      <c r="D100" s="14"/>
      <c r="K100" s="87"/>
      <c r="L100" s="14"/>
      <c r="M100" s="14"/>
      <c r="N100" s="4"/>
      <c r="O100"/>
      <c r="P100"/>
      <c r="Q100"/>
      <c r="R100"/>
      <c r="S100"/>
      <c r="T100"/>
      <c r="U100"/>
      <c r="V100"/>
    </row>
    <row r="101" spans="1:22" s="38" customFormat="1" x14ac:dyDescent="0.25">
      <c r="A101" s="4"/>
      <c r="B101" s="4"/>
      <c r="C101" s="4"/>
      <c r="D101" s="14"/>
      <c r="J101" s="90"/>
      <c r="K101" s="87"/>
      <c r="L101" s="14"/>
      <c r="M101" s="14"/>
      <c r="N101" s="4"/>
      <c r="O101"/>
      <c r="P101"/>
      <c r="Q101"/>
      <c r="R101"/>
      <c r="S101"/>
      <c r="T101"/>
      <c r="U101"/>
      <c r="V101"/>
    </row>
    <row r="102" spans="1:22" s="38" customFormat="1" x14ac:dyDescent="0.25">
      <c r="A102" s="4"/>
      <c r="B102" s="4"/>
      <c r="C102" s="4"/>
      <c r="D102" s="14"/>
      <c r="K102" s="87"/>
      <c r="L102" s="14"/>
      <c r="M102" s="14"/>
      <c r="N102" s="4"/>
      <c r="O102"/>
      <c r="P102"/>
      <c r="Q102"/>
      <c r="R102"/>
      <c r="S102"/>
      <c r="T102"/>
      <c r="U102"/>
      <c r="V102"/>
    </row>
    <row r="103" spans="1:22" s="38" customFormat="1" x14ac:dyDescent="0.25">
      <c r="A103" s="4"/>
      <c r="B103" s="4"/>
      <c r="C103" s="4"/>
      <c r="D103" s="14"/>
      <c r="J103" s="90"/>
      <c r="K103" s="87"/>
      <c r="L103" s="14"/>
      <c r="M103" s="14"/>
      <c r="N103" s="4"/>
      <c r="O103"/>
      <c r="P103"/>
      <c r="Q103"/>
      <c r="R103"/>
      <c r="S103"/>
      <c r="T103"/>
      <c r="U103"/>
      <c r="V103"/>
    </row>
    <row r="104" spans="1:22" s="38" customFormat="1" x14ac:dyDescent="0.25">
      <c r="A104" s="4"/>
      <c r="B104" s="4"/>
      <c r="C104" s="4"/>
      <c r="D104" s="14"/>
      <c r="G104" s="90"/>
      <c r="J104" s="90"/>
      <c r="K104" s="87"/>
      <c r="L104" s="14"/>
      <c r="M104" s="14"/>
      <c r="N104" s="4"/>
      <c r="O104"/>
      <c r="P104"/>
      <c r="Q104"/>
      <c r="R104"/>
      <c r="S104"/>
      <c r="T104"/>
      <c r="U104"/>
      <c r="V104"/>
    </row>
    <row r="105" spans="1:22" s="38" customFormat="1" x14ac:dyDescent="0.25">
      <c r="A105" s="4"/>
      <c r="B105" s="4"/>
      <c r="C105" s="4"/>
      <c r="D105" s="14"/>
      <c r="G105" s="90"/>
      <c r="K105" s="87"/>
      <c r="L105" s="14"/>
      <c r="M105" s="14"/>
      <c r="N105" s="4"/>
      <c r="O105"/>
      <c r="P105"/>
      <c r="Q105"/>
      <c r="R105"/>
      <c r="S105"/>
      <c r="T105"/>
      <c r="U105"/>
      <c r="V105"/>
    </row>
    <row r="106" spans="1:22" s="38" customFormat="1" x14ac:dyDescent="0.25">
      <c r="A106" s="4"/>
      <c r="B106" s="4"/>
      <c r="C106" s="4"/>
      <c r="D106" s="14"/>
      <c r="K106" s="87"/>
      <c r="L106" s="14"/>
      <c r="M106" s="14"/>
      <c r="N106" s="4"/>
      <c r="O106"/>
      <c r="P106"/>
      <c r="Q106"/>
      <c r="R106"/>
      <c r="S106"/>
      <c r="T106"/>
      <c r="U106"/>
      <c r="V106"/>
    </row>
    <row r="107" spans="1:22" s="38" customFormat="1" x14ac:dyDescent="0.25">
      <c r="A107" s="4"/>
      <c r="B107" s="4"/>
      <c r="C107" s="4"/>
      <c r="D107" s="14"/>
      <c r="K107" s="87"/>
      <c r="L107" s="14"/>
      <c r="M107" s="14"/>
      <c r="N107" s="4"/>
      <c r="O107"/>
      <c r="P107"/>
      <c r="Q107"/>
      <c r="R107"/>
      <c r="S107"/>
      <c r="T107"/>
      <c r="U107"/>
      <c r="V107"/>
    </row>
    <row r="108" spans="1:22" s="38" customFormat="1" x14ac:dyDescent="0.25">
      <c r="A108" s="4"/>
      <c r="B108" s="4"/>
      <c r="C108" s="4"/>
      <c r="D108" s="14"/>
      <c r="G108" s="90"/>
      <c r="K108" s="87"/>
      <c r="L108" s="14"/>
      <c r="M108" s="14"/>
      <c r="N108" s="4"/>
      <c r="O108"/>
      <c r="P108"/>
      <c r="Q108"/>
      <c r="R108"/>
      <c r="S108"/>
      <c r="T108"/>
      <c r="U108"/>
      <c r="V108"/>
    </row>
    <row r="109" spans="1:22" s="38" customFormat="1" x14ac:dyDescent="0.25">
      <c r="A109" s="4"/>
      <c r="B109" s="4"/>
      <c r="C109" s="4"/>
      <c r="D109" s="14"/>
      <c r="G109" s="90"/>
      <c r="K109" s="87"/>
      <c r="L109" s="14"/>
      <c r="M109" s="14"/>
      <c r="N109" s="14"/>
      <c r="O109"/>
      <c r="P109"/>
      <c r="Q109"/>
      <c r="R109"/>
      <c r="S109"/>
      <c r="T109"/>
      <c r="U109"/>
      <c r="V109"/>
    </row>
    <row r="110" spans="1:22" s="38" customFormat="1" x14ac:dyDescent="0.25">
      <c r="A110" s="4"/>
      <c r="B110" s="4"/>
      <c r="C110" s="4"/>
      <c r="D110" s="14"/>
      <c r="K110" s="87"/>
      <c r="L110" s="14"/>
      <c r="M110" s="14"/>
      <c r="N110" s="14"/>
      <c r="O110"/>
      <c r="P110"/>
      <c r="Q110"/>
      <c r="R110"/>
      <c r="S110"/>
      <c r="T110"/>
      <c r="U110"/>
      <c r="V110"/>
    </row>
    <row r="111" spans="1:22" s="38" customFormat="1" x14ac:dyDescent="0.25">
      <c r="A111" s="4"/>
      <c r="B111" s="4"/>
      <c r="C111" s="4"/>
      <c r="D111" s="14"/>
      <c r="K111" s="87"/>
      <c r="L111" s="14"/>
      <c r="M111" s="2"/>
      <c r="N111" s="14"/>
      <c r="O111"/>
      <c r="P111"/>
      <c r="Q111"/>
      <c r="R111"/>
      <c r="S111"/>
      <c r="T111"/>
      <c r="U111"/>
      <c r="V111"/>
    </row>
    <row r="112" spans="1:22" s="38" customFormat="1" x14ac:dyDescent="0.25">
      <c r="A112" s="4"/>
      <c r="B112" s="4"/>
      <c r="C112" s="4"/>
      <c r="D112" s="14"/>
      <c r="K112" s="87"/>
      <c r="L112" s="14"/>
      <c r="M112" s="14"/>
      <c r="N112" s="92"/>
      <c r="O112"/>
      <c r="P112"/>
      <c r="Q112"/>
      <c r="R112"/>
      <c r="S112"/>
      <c r="T112"/>
      <c r="U112"/>
      <c r="V112"/>
    </row>
    <row r="113" spans="1:22" s="38" customFormat="1" x14ac:dyDescent="0.25">
      <c r="A113" s="4"/>
      <c r="B113" s="4"/>
      <c r="C113" s="4"/>
      <c r="D113" s="14"/>
      <c r="E113" s="4"/>
      <c r="K113" s="87"/>
      <c r="L113" s="14"/>
      <c r="M113" s="4"/>
      <c r="N113" s="14"/>
      <c r="O113"/>
      <c r="P113"/>
      <c r="Q113"/>
      <c r="R113"/>
      <c r="S113"/>
      <c r="T113"/>
      <c r="U113"/>
      <c r="V113"/>
    </row>
    <row r="114" spans="1:22" s="38" customFormat="1" x14ac:dyDescent="0.25">
      <c r="A114" s="4"/>
      <c r="B114" s="4"/>
      <c r="C114" s="4"/>
      <c r="D114" s="14"/>
      <c r="K114" s="87"/>
      <c r="L114" s="14"/>
      <c r="N114" s="14"/>
      <c r="O114"/>
      <c r="P114"/>
      <c r="Q114"/>
      <c r="R114"/>
      <c r="S114"/>
      <c r="T114"/>
      <c r="U114"/>
      <c r="V114"/>
    </row>
    <row r="115" spans="1:22" s="38" customFormat="1" x14ac:dyDescent="0.25">
      <c r="A115" s="4"/>
      <c r="B115" s="4"/>
      <c r="C115" s="4"/>
      <c r="D115" s="14"/>
      <c r="J115" s="90"/>
      <c r="K115" s="87"/>
      <c r="L115" s="14"/>
      <c r="M115" s="14"/>
      <c r="N115" s="14"/>
      <c r="O115"/>
      <c r="P115"/>
      <c r="Q115"/>
      <c r="R115"/>
      <c r="S115"/>
      <c r="T115"/>
      <c r="U115"/>
      <c r="V115"/>
    </row>
    <row r="116" spans="1:22" s="38" customFormat="1" x14ac:dyDescent="0.25">
      <c r="A116" s="4"/>
      <c r="B116" s="4"/>
      <c r="C116" s="4"/>
      <c r="D116" s="14"/>
      <c r="G116" s="90"/>
      <c r="J116" s="90"/>
      <c r="K116" s="87"/>
      <c r="L116" s="14"/>
      <c r="M116" s="4"/>
      <c r="N116" s="14"/>
      <c r="O116"/>
      <c r="P116"/>
      <c r="Q116"/>
      <c r="R116"/>
      <c r="S116"/>
      <c r="T116"/>
      <c r="U116"/>
      <c r="V116"/>
    </row>
    <row r="117" spans="1:22" s="38" customFormat="1" x14ac:dyDescent="0.25">
      <c r="A117" s="4"/>
      <c r="B117" s="4"/>
      <c r="C117" s="4"/>
      <c r="D117" s="14"/>
      <c r="G117" s="90"/>
      <c r="K117" s="87"/>
      <c r="L117" s="14"/>
      <c r="M117" s="4"/>
      <c r="N117" s="92"/>
      <c r="O117"/>
      <c r="P117"/>
      <c r="Q117"/>
      <c r="R117"/>
      <c r="S117"/>
      <c r="T117"/>
      <c r="U117"/>
      <c r="V117"/>
    </row>
    <row r="118" spans="1:22" s="38" customFormat="1" x14ac:dyDescent="0.25">
      <c r="A118" s="4"/>
      <c r="B118" s="4"/>
      <c r="C118" s="4"/>
      <c r="D118" s="14"/>
      <c r="G118" s="90"/>
      <c r="K118" s="87"/>
      <c r="L118" s="14"/>
      <c r="N118" s="14"/>
      <c r="O118"/>
      <c r="P118"/>
      <c r="Q118"/>
      <c r="R118"/>
      <c r="S118"/>
      <c r="T118"/>
      <c r="U118"/>
      <c r="V118"/>
    </row>
    <row r="119" spans="1:22" s="38" customFormat="1" x14ac:dyDescent="0.25">
      <c r="A119" s="4"/>
      <c r="B119" s="4"/>
      <c r="C119" s="4"/>
      <c r="D119" s="14"/>
      <c r="G119" s="90"/>
      <c r="K119" s="87"/>
      <c r="L119" s="14"/>
      <c r="N119" s="14"/>
      <c r="O119"/>
      <c r="P119"/>
      <c r="Q119"/>
      <c r="R119"/>
      <c r="S119"/>
      <c r="T119"/>
      <c r="U119"/>
      <c r="V119"/>
    </row>
    <row r="120" spans="1:22" s="38" customFormat="1" x14ac:dyDescent="0.25">
      <c r="A120" s="4"/>
      <c r="B120" s="4"/>
      <c r="C120" s="4"/>
      <c r="D120" s="14"/>
      <c r="K120" s="87"/>
      <c r="L120" s="14"/>
      <c r="N120" s="14"/>
      <c r="O120"/>
      <c r="P120"/>
      <c r="Q120"/>
      <c r="R120"/>
      <c r="S120"/>
      <c r="T120"/>
      <c r="U120"/>
      <c r="V120"/>
    </row>
    <row r="121" spans="1:22" s="38" customFormat="1" x14ac:dyDescent="0.25">
      <c r="A121" s="4"/>
      <c r="B121" s="4"/>
      <c r="C121" s="4"/>
      <c r="D121" s="14"/>
      <c r="L121" s="14"/>
      <c r="M121" s="14"/>
      <c r="N121" s="4"/>
      <c r="O121"/>
      <c r="P121"/>
      <c r="Q121"/>
      <c r="R121"/>
      <c r="S121"/>
      <c r="T121"/>
      <c r="U121"/>
      <c r="V121"/>
    </row>
    <row r="122" spans="1:22" s="38" customFormat="1" x14ac:dyDescent="0.25">
      <c r="A122" s="4"/>
      <c r="B122" s="4"/>
      <c r="C122" s="4"/>
      <c r="D122" s="14"/>
      <c r="G122" s="90"/>
      <c r="J122" s="90"/>
      <c r="L122" s="14"/>
      <c r="N122" s="14"/>
      <c r="O122"/>
      <c r="P122"/>
      <c r="Q122"/>
      <c r="R122"/>
      <c r="S122"/>
      <c r="T122"/>
      <c r="U122"/>
      <c r="V122"/>
    </row>
    <row r="123" spans="1:22" s="38" customFormat="1" x14ac:dyDescent="0.25">
      <c r="A123" s="4"/>
      <c r="B123" s="4"/>
      <c r="C123" s="4"/>
      <c r="D123" s="14"/>
      <c r="L123" s="14"/>
      <c r="M123" s="14"/>
      <c r="N123" s="14"/>
      <c r="O123"/>
      <c r="P123"/>
      <c r="Q123"/>
      <c r="R123"/>
      <c r="S123"/>
      <c r="T123"/>
      <c r="U123"/>
      <c r="V123"/>
    </row>
    <row r="124" spans="1:22" s="38" customFormat="1" x14ac:dyDescent="0.25">
      <c r="A124" s="4"/>
      <c r="B124" s="4"/>
      <c r="C124" s="4"/>
      <c r="D124" s="14"/>
      <c r="G124" s="90"/>
      <c r="K124" s="90"/>
      <c r="L124" s="14"/>
      <c r="N124" s="14"/>
      <c r="O124"/>
      <c r="P124"/>
      <c r="Q124"/>
      <c r="R124"/>
      <c r="S124"/>
      <c r="T124"/>
      <c r="U124"/>
      <c r="V124"/>
    </row>
    <row r="125" spans="1:22" s="38" customFormat="1" x14ac:dyDescent="0.25">
      <c r="A125" s="4"/>
      <c r="B125" s="4"/>
      <c r="C125" s="4"/>
      <c r="D125" s="14"/>
      <c r="G125" s="90"/>
      <c r="J125" s="90"/>
      <c r="L125" s="14"/>
      <c r="M125" s="14"/>
      <c r="N125" s="92"/>
      <c r="O125"/>
      <c r="P125"/>
      <c r="Q125"/>
      <c r="R125"/>
      <c r="S125"/>
      <c r="T125"/>
      <c r="U125"/>
      <c r="V125"/>
    </row>
    <row r="126" spans="1:22" s="38" customFormat="1" x14ac:dyDescent="0.25">
      <c r="A126" s="4"/>
      <c r="B126" s="4"/>
      <c r="C126" s="4"/>
      <c r="D126" s="14"/>
      <c r="G126" s="90"/>
      <c r="K126" s="90"/>
      <c r="L126" s="14"/>
      <c r="M126" s="14"/>
      <c r="N126" s="4"/>
      <c r="O126"/>
      <c r="P126"/>
      <c r="Q126"/>
      <c r="R126"/>
      <c r="S126"/>
      <c r="T126"/>
      <c r="U126"/>
      <c r="V126"/>
    </row>
    <row r="127" spans="1:22" s="38" customFormat="1" x14ac:dyDescent="0.25">
      <c r="A127" s="4"/>
      <c r="B127" s="4"/>
      <c r="C127" s="4"/>
      <c r="D127" s="14"/>
      <c r="K127" s="90"/>
      <c r="L127" s="14"/>
      <c r="N127" s="92"/>
      <c r="O127"/>
      <c r="P127"/>
      <c r="Q127"/>
      <c r="R127"/>
      <c r="S127"/>
      <c r="T127"/>
      <c r="U127"/>
      <c r="V127"/>
    </row>
    <row r="128" spans="1:22" s="38" customFormat="1" x14ac:dyDescent="0.25">
      <c r="A128" s="4"/>
      <c r="B128" s="4"/>
      <c r="C128" s="4"/>
      <c r="D128" s="14"/>
      <c r="G128" s="90"/>
      <c r="K128" s="90"/>
      <c r="L128" s="14"/>
      <c r="M128" s="14"/>
      <c r="N128" s="14"/>
      <c r="O128"/>
      <c r="P128"/>
      <c r="Q128"/>
      <c r="R128"/>
      <c r="S128"/>
      <c r="T128"/>
      <c r="U128"/>
      <c r="V128"/>
    </row>
    <row r="129" spans="1:22" s="38" customFormat="1" x14ac:dyDescent="0.25">
      <c r="A129" s="4"/>
      <c r="B129" s="4"/>
      <c r="C129" s="4"/>
      <c r="D129" s="14"/>
      <c r="K129" s="90"/>
      <c r="L129" s="14"/>
      <c r="N129" s="14"/>
      <c r="O129"/>
      <c r="P129"/>
      <c r="Q129"/>
      <c r="R129"/>
      <c r="S129"/>
      <c r="T129"/>
      <c r="U129"/>
      <c r="V129"/>
    </row>
    <row r="130" spans="1:22" s="38" customFormat="1" x14ac:dyDescent="0.25">
      <c r="A130" s="4"/>
      <c r="B130" s="4"/>
      <c r="C130" s="4"/>
      <c r="D130" s="14"/>
      <c r="G130" s="90"/>
      <c r="K130" s="90"/>
      <c r="L130" s="14"/>
      <c r="M130" s="14"/>
      <c r="N130" s="14"/>
      <c r="O130"/>
      <c r="P130"/>
      <c r="Q130"/>
      <c r="R130"/>
      <c r="S130"/>
      <c r="T130"/>
      <c r="U130"/>
      <c r="V130"/>
    </row>
    <row r="131" spans="1:22" s="38" customFormat="1" x14ac:dyDescent="0.25">
      <c r="A131" s="4"/>
      <c r="B131" s="4"/>
      <c r="C131" s="4"/>
      <c r="D131" s="14"/>
      <c r="G131" s="90"/>
      <c r="J131" s="90"/>
      <c r="K131" s="90"/>
      <c r="L131" s="14"/>
      <c r="M131" s="14"/>
      <c r="N131" s="14"/>
      <c r="O131"/>
      <c r="P131"/>
      <c r="Q131"/>
      <c r="R131"/>
      <c r="S131"/>
      <c r="T131"/>
      <c r="U131"/>
      <c r="V131"/>
    </row>
    <row r="132" spans="1:22" s="38" customFormat="1" x14ac:dyDescent="0.25">
      <c r="A132" s="4"/>
      <c r="B132" s="4"/>
      <c r="C132" s="4"/>
      <c r="D132" s="14"/>
      <c r="G132" s="90"/>
      <c r="K132" s="90"/>
      <c r="L132" s="14"/>
      <c r="N132" s="14"/>
      <c r="O132"/>
      <c r="P132"/>
      <c r="Q132"/>
      <c r="R132"/>
      <c r="S132"/>
      <c r="T132"/>
      <c r="U132"/>
      <c r="V132"/>
    </row>
    <row r="133" spans="1:22" s="38" customFormat="1" x14ac:dyDescent="0.25">
      <c r="A133" s="4"/>
      <c r="B133" s="4"/>
      <c r="C133" s="4"/>
      <c r="D133" s="14"/>
      <c r="G133" s="90"/>
      <c r="K133" s="90"/>
      <c r="L133" s="14"/>
      <c r="M133" s="14"/>
      <c r="N133" s="14"/>
      <c r="O133"/>
      <c r="P133"/>
      <c r="Q133"/>
      <c r="R133"/>
      <c r="S133"/>
      <c r="T133"/>
      <c r="U133"/>
      <c r="V133"/>
    </row>
    <row r="134" spans="1:22" s="38" customFormat="1" x14ac:dyDescent="0.25">
      <c r="A134" s="4"/>
      <c r="B134" s="4"/>
      <c r="C134" s="4"/>
      <c r="D134" s="14"/>
      <c r="G134" s="90"/>
      <c r="K134" s="90"/>
      <c r="L134" s="14"/>
      <c r="M134" s="14"/>
      <c r="N134" s="14"/>
      <c r="O134"/>
      <c r="P134"/>
      <c r="Q134"/>
      <c r="R134"/>
      <c r="S134"/>
      <c r="T134"/>
      <c r="U134"/>
      <c r="V134"/>
    </row>
    <row r="135" spans="1:22" s="38" customFormat="1" x14ac:dyDescent="0.25">
      <c r="A135" s="4"/>
      <c r="B135" s="4"/>
      <c r="C135" s="4"/>
      <c r="D135" s="14"/>
      <c r="K135" s="90"/>
      <c r="L135" s="14"/>
      <c r="M135" s="14"/>
      <c r="N135" s="14"/>
      <c r="O135"/>
      <c r="P135"/>
      <c r="Q135"/>
      <c r="R135"/>
      <c r="S135"/>
      <c r="T135"/>
      <c r="U135"/>
      <c r="V135"/>
    </row>
    <row r="136" spans="1:22" s="38" customFormat="1" x14ac:dyDescent="0.25">
      <c r="A136" s="4"/>
      <c r="B136" s="4"/>
      <c r="C136" s="4"/>
      <c r="D136" s="14"/>
      <c r="J136" s="90"/>
      <c r="K136" s="90"/>
      <c r="L136" s="14"/>
      <c r="M136" s="14"/>
      <c r="N136" s="14"/>
      <c r="O136"/>
      <c r="P136"/>
      <c r="Q136"/>
      <c r="R136"/>
      <c r="S136"/>
      <c r="T136"/>
      <c r="U136"/>
      <c r="V136"/>
    </row>
    <row r="137" spans="1:22" s="38" customFormat="1" x14ac:dyDescent="0.25">
      <c r="A137" s="4"/>
      <c r="B137" s="4"/>
      <c r="C137" s="4"/>
      <c r="D137" s="14"/>
      <c r="G137" s="90"/>
      <c r="K137" s="90"/>
      <c r="L137" s="14"/>
      <c r="N137" s="14"/>
      <c r="O137"/>
      <c r="P137"/>
      <c r="Q137"/>
      <c r="R137"/>
      <c r="S137"/>
      <c r="T137"/>
      <c r="U137"/>
      <c r="V137"/>
    </row>
    <row r="138" spans="1:22" s="38" customFormat="1" x14ac:dyDescent="0.25">
      <c r="A138" s="4"/>
      <c r="B138" s="4"/>
      <c r="C138" s="4"/>
      <c r="D138" s="14"/>
      <c r="K138" s="90"/>
      <c r="L138" s="14"/>
      <c r="N138" s="14"/>
      <c r="O138"/>
      <c r="P138"/>
      <c r="Q138"/>
      <c r="R138"/>
      <c r="S138"/>
      <c r="T138"/>
      <c r="U138"/>
      <c r="V138"/>
    </row>
    <row r="139" spans="1:22" s="38" customFormat="1" x14ac:dyDescent="0.25">
      <c r="A139" s="4"/>
      <c r="B139" s="4"/>
      <c r="C139" s="4"/>
      <c r="D139" s="14"/>
      <c r="K139" s="90"/>
      <c r="L139" s="14"/>
      <c r="N139" s="14"/>
      <c r="O139"/>
      <c r="P139"/>
      <c r="Q139"/>
      <c r="R139"/>
      <c r="S139"/>
      <c r="T139"/>
      <c r="U139"/>
      <c r="V139"/>
    </row>
    <row r="140" spans="1:22" s="38" customFormat="1" x14ac:dyDescent="0.25">
      <c r="A140" s="4"/>
      <c r="B140" s="4"/>
      <c r="C140" s="4"/>
      <c r="D140" s="14"/>
      <c r="L140" s="14"/>
      <c r="N140" s="14"/>
      <c r="O140"/>
      <c r="P140"/>
      <c r="Q140"/>
      <c r="R140"/>
      <c r="S140"/>
      <c r="T140"/>
      <c r="U140"/>
      <c r="V140"/>
    </row>
    <row r="141" spans="1:22" s="38" customFormat="1" x14ac:dyDescent="0.25">
      <c r="A141" s="4"/>
      <c r="B141" s="4"/>
      <c r="C141" s="4"/>
      <c r="D141" s="14"/>
      <c r="L141" s="14"/>
      <c r="N141" s="14"/>
      <c r="O141"/>
      <c r="P141"/>
      <c r="Q141"/>
      <c r="R141"/>
      <c r="S141"/>
      <c r="T141"/>
      <c r="U141"/>
      <c r="V141"/>
    </row>
    <row r="142" spans="1:22" s="38" customFormat="1" x14ac:dyDescent="0.25">
      <c r="A142" s="4"/>
      <c r="B142" s="4"/>
      <c r="C142" s="4"/>
      <c r="D142" s="14"/>
      <c r="L142" s="14"/>
      <c r="N142" s="14"/>
      <c r="O142"/>
      <c r="P142"/>
      <c r="Q142"/>
      <c r="R142"/>
      <c r="S142"/>
      <c r="T142"/>
      <c r="U142"/>
      <c r="V142"/>
    </row>
    <row r="143" spans="1:22" s="38" customFormat="1" x14ac:dyDescent="0.25">
      <c r="A143" s="4"/>
      <c r="B143" s="4"/>
      <c r="C143" s="4"/>
      <c r="D143" s="14"/>
      <c r="K143" s="90"/>
      <c r="L143" s="14"/>
      <c r="M143" s="14"/>
      <c r="N143" s="4"/>
      <c r="O143"/>
      <c r="P143"/>
      <c r="Q143"/>
      <c r="R143"/>
      <c r="S143"/>
      <c r="T143"/>
      <c r="U143"/>
      <c r="V143"/>
    </row>
    <row r="144" spans="1:22" s="38" customFormat="1" x14ac:dyDescent="0.25">
      <c r="A144" s="4"/>
      <c r="B144" s="4"/>
      <c r="C144" s="4"/>
      <c r="D144" s="14"/>
      <c r="G144" s="90"/>
      <c r="K144" s="90"/>
      <c r="L144" s="14"/>
      <c r="M144" s="14"/>
      <c r="N144" s="14"/>
      <c r="O144"/>
      <c r="P144"/>
      <c r="Q144"/>
      <c r="R144"/>
      <c r="S144"/>
      <c r="T144"/>
      <c r="U144"/>
      <c r="V144"/>
    </row>
    <row r="145" spans="1:22" s="38" customFormat="1" x14ac:dyDescent="0.25">
      <c r="A145" s="4"/>
      <c r="B145" s="4"/>
      <c r="C145" s="4"/>
      <c r="D145" s="14"/>
      <c r="G145" s="90"/>
      <c r="J145" s="90"/>
      <c r="K145" s="90"/>
      <c r="L145" s="14"/>
      <c r="N145" s="14"/>
      <c r="O145"/>
      <c r="P145"/>
      <c r="Q145"/>
      <c r="R145"/>
      <c r="S145"/>
      <c r="T145"/>
      <c r="U145"/>
      <c r="V145"/>
    </row>
    <row r="146" spans="1:22" s="38" customFormat="1" x14ac:dyDescent="0.25">
      <c r="A146" s="4"/>
      <c r="B146" s="4"/>
      <c r="C146" s="4"/>
      <c r="D146" s="14"/>
      <c r="G146" s="90"/>
      <c r="J146" s="90"/>
      <c r="L146" s="14"/>
      <c r="N146" s="14"/>
      <c r="O146"/>
      <c r="P146"/>
      <c r="Q146"/>
      <c r="R146"/>
      <c r="S146"/>
      <c r="T146"/>
      <c r="U146"/>
      <c r="V146"/>
    </row>
    <row r="147" spans="1:22" s="38" customFormat="1" x14ac:dyDescent="0.25">
      <c r="A147" s="4"/>
      <c r="B147" s="4"/>
      <c r="C147" s="4"/>
      <c r="D147" s="14"/>
      <c r="G147" s="90"/>
      <c r="J147" s="90"/>
      <c r="L147" s="14"/>
      <c r="M147" s="4"/>
      <c r="N147" s="14"/>
      <c r="O147"/>
      <c r="P147"/>
      <c r="Q147"/>
      <c r="R147"/>
      <c r="S147"/>
      <c r="T147"/>
      <c r="U147"/>
      <c r="V147"/>
    </row>
    <row r="148" spans="1:22" s="38" customFormat="1" x14ac:dyDescent="0.25">
      <c r="A148" s="4"/>
      <c r="B148" s="4"/>
      <c r="C148" s="4"/>
      <c r="D148" s="14"/>
      <c r="G148" s="90"/>
      <c r="J148" s="90"/>
      <c r="K148" s="90"/>
      <c r="L148" s="14"/>
      <c r="N148" s="14"/>
      <c r="O148"/>
      <c r="P148"/>
      <c r="Q148"/>
      <c r="R148"/>
      <c r="S148"/>
      <c r="T148"/>
      <c r="U148"/>
      <c r="V148"/>
    </row>
    <row r="149" spans="1:22" s="38" customFormat="1" x14ac:dyDescent="0.25">
      <c r="A149" s="4"/>
      <c r="B149" s="4"/>
      <c r="C149" s="4"/>
      <c r="D149" s="14"/>
      <c r="G149" s="90"/>
      <c r="J149" s="90"/>
      <c r="K149" s="90"/>
      <c r="L149" s="14"/>
      <c r="M149" s="4"/>
      <c r="N149" s="14"/>
      <c r="O149"/>
      <c r="P149"/>
      <c r="Q149"/>
      <c r="R149"/>
      <c r="S149"/>
      <c r="T149"/>
      <c r="U149"/>
      <c r="V149"/>
    </row>
    <row r="150" spans="1:22" s="38" customFormat="1" x14ac:dyDescent="0.25">
      <c r="A150" s="4"/>
      <c r="B150" s="4"/>
      <c r="C150" s="4"/>
      <c r="D150" s="14"/>
      <c r="G150" s="90"/>
      <c r="K150" s="90"/>
      <c r="L150" s="14"/>
      <c r="N150" s="14"/>
      <c r="O150"/>
      <c r="P150"/>
      <c r="Q150"/>
      <c r="R150"/>
      <c r="S150"/>
      <c r="T150"/>
      <c r="U150"/>
      <c r="V150"/>
    </row>
    <row r="151" spans="1:22" s="38" customFormat="1" x14ac:dyDescent="0.25">
      <c r="A151" s="4"/>
      <c r="B151" s="4"/>
      <c r="C151" s="4"/>
      <c r="D151" s="14"/>
      <c r="G151" s="90"/>
      <c r="K151" s="90"/>
      <c r="L151" s="14"/>
      <c r="N151" s="14"/>
      <c r="O151"/>
      <c r="P151"/>
      <c r="Q151"/>
      <c r="R151"/>
      <c r="S151"/>
      <c r="T151"/>
      <c r="U151"/>
      <c r="V151"/>
    </row>
    <row r="152" spans="1:22" s="38" customFormat="1" x14ac:dyDescent="0.25">
      <c r="A152" s="4"/>
      <c r="B152" s="4"/>
      <c r="C152" s="4"/>
      <c r="D152" s="14"/>
      <c r="K152" s="90"/>
      <c r="L152" s="14"/>
      <c r="N152" s="14"/>
      <c r="O152"/>
      <c r="P152"/>
      <c r="Q152"/>
      <c r="R152"/>
      <c r="S152"/>
      <c r="T152"/>
      <c r="U152"/>
      <c r="V152"/>
    </row>
    <row r="153" spans="1:22" s="38" customFormat="1" x14ac:dyDescent="0.25">
      <c r="A153" s="4"/>
      <c r="B153" s="4"/>
      <c r="C153" s="4"/>
      <c r="D153" s="14"/>
      <c r="G153" s="90"/>
      <c r="K153" s="90"/>
      <c r="L153" s="14"/>
      <c r="M153" s="2"/>
      <c r="N153" s="14"/>
      <c r="O153"/>
      <c r="P153"/>
      <c r="Q153"/>
      <c r="R153"/>
      <c r="S153"/>
      <c r="T153"/>
      <c r="U153"/>
      <c r="V153"/>
    </row>
    <row r="154" spans="1:22" s="38" customFormat="1" x14ac:dyDescent="0.25">
      <c r="A154" s="4"/>
      <c r="B154" s="4"/>
      <c r="C154" s="4"/>
      <c r="D154" s="14"/>
      <c r="G154" s="90"/>
      <c r="K154" s="90"/>
      <c r="L154" s="14"/>
      <c r="M154" s="14"/>
      <c r="N154" s="14"/>
      <c r="O154"/>
      <c r="P154"/>
      <c r="Q154"/>
      <c r="R154"/>
      <c r="S154"/>
      <c r="T154"/>
      <c r="U154"/>
      <c r="V154"/>
    </row>
    <row r="155" spans="1:22" s="38" customFormat="1" x14ac:dyDescent="0.25">
      <c r="A155" s="4"/>
      <c r="B155" s="4"/>
      <c r="C155" s="4"/>
      <c r="D155" s="14"/>
      <c r="G155" s="90"/>
      <c r="K155" s="90"/>
      <c r="L155" s="14"/>
      <c r="N155" s="14"/>
      <c r="O155"/>
      <c r="P155"/>
      <c r="Q155"/>
      <c r="R155"/>
      <c r="S155"/>
      <c r="T155"/>
      <c r="U155"/>
      <c r="V155"/>
    </row>
    <row r="156" spans="1:22" s="38" customFormat="1" x14ac:dyDescent="0.25">
      <c r="A156" s="4"/>
      <c r="B156" s="4"/>
      <c r="C156" s="4"/>
      <c r="D156" s="14"/>
      <c r="G156" s="90"/>
      <c r="K156" s="90"/>
      <c r="L156" s="14"/>
      <c r="N156" s="14"/>
      <c r="O156"/>
      <c r="P156"/>
      <c r="Q156"/>
      <c r="R156"/>
      <c r="S156"/>
      <c r="T156"/>
      <c r="U156"/>
      <c r="V156"/>
    </row>
    <row r="157" spans="1:22" s="38" customFormat="1" x14ac:dyDescent="0.25">
      <c r="A157" s="4"/>
      <c r="B157" s="4"/>
      <c r="C157" s="4"/>
      <c r="D157" s="14"/>
      <c r="K157" s="90"/>
      <c r="L157" s="14"/>
      <c r="M157" s="14"/>
      <c r="N157" s="14"/>
      <c r="O157"/>
      <c r="P157"/>
      <c r="Q157"/>
      <c r="R157"/>
      <c r="S157"/>
      <c r="T157"/>
      <c r="U157"/>
      <c r="V157"/>
    </row>
    <row r="158" spans="1:22" s="38" customFormat="1" x14ac:dyDescent="0.25">
      <c r="A158" s="4"/>
      <c r="B158" s="4"/>
      <c r="C158" s="4"/>
      <c r="D158" s="14"/>
      <c r="K158" s="90"/>
      <c r="L158" s="14"/>
      <c r="M158" s="4"/>
      <c r="N158" s="14"/>
      <c r="O158"/>
      <c r="P158"/>
      <c r="Q158"/>
      <c r="R158"/>
      <c r="S158"/>
      <c r="T158"/>
      <c r="U158"/>
      <c r="V158"/>
    </row>
    <row r="159" spans="1:22" s="38" customFormat="1" x14ac:dyDescent="0.25">
      <c r="A159" s="4"/>
      <c r="B159" s="4"/>
      <c r="C159" s="4"/>
      <c r="D159" s="14"/>
      <c r="J159" s="90"/>
      <c r="K159" s="90"/>
      <c r="L159" s="14"/>
      <c r="N159" s="14"/>
      <c r="O159"/>
      <c r="P159"/>
      <c r="Q159"/>
      <c r="R159"/>
      <c r="S159"/>
      <c r="T159"/>
      <c r="U159"/>
      <c r="V159"/>
    </row>
    <row r="160" spans="1:22" s="38" customFormat="1" x14ac:dyDescent="0.25">
      <c r="A160" s="4"/>
      <c r="B160" s="4"/>
      <c r="C160" s="4"/>
      <c r="D160" s="14"/>
      <c r="G160" s="90"/>
      <c r="J160" s="90"/>
      <c r="K160" s="90"/>
      <c r="L160" s="14"/>
      <c r="M160" s="2"/>
      <c r="N160" s="14"/>
      <c r="O160"/>
      <c r="P160"/>
      <c r="Q160"/>
      <c r="R160"/>
      <c r="S160"/>
      <c r="T160"/>
      <c r="U160"/>
      <c r="V160"/>
    </row>
    <row r="161" spans="1:22" s="38" customFormat="1" x14ac:dyDescent="0.25">
      <c r="A161" s="4"/>
      <c r="B161" s="4"/>
      <c r="C161" s="4"/>
      <c r="D161" s="14"/>
      <c r="J161" s="90"/>
      <c r="K161" s="90"/>
      <c r="L161" s="14"/>
      <c r="M161" s="4"/>
      <c r="N161" s="14"/>
      <c r="O161"/>
      <c r="P161"/>
      <c r="Q161"/>
      <c r="R161"/>
      <c r="S161"/>
      <c r="T161"/>
      <c r="U161"/>
      <c r="V161"/>
    </row>
    <row r="162" spans="1:22" s="38" customFormat="1" x14ac:dyDescent="0.25">
      <c r="A162" s="4"/>
      <c r="B162" s="4"/>
      <c r="C162" s="4"/>
      <c r="D162" s="14"/>
      <c r="K162" s="90"/>
      <c r="L162" s="14"/>
      <c r="M162" s="2"/>
      <c r="N162" s="92"/>
      <c r="O162"/>
      <c r="P162"/>
      <c r="Q162"/>
      <c r="R162"/>
      <c r="S162"/>
      <c r="T162"/>
      <c r="U162"/>
      <c r="V162"/>
    </row>
    <row r="163" spans="1:22" s="38" customFormat="1" x14ac:dyDescent="0.25">
      <c r="A163" s="4"/>
      <c r="B163" s="4"/>
      <c r="C163" s="4"/>
      <c r="D163" s="14"/>
      <c r="J163" s="90"/>
      <c r="K163" s="90"/>
      <c r="L163" s="14"/>
      <c r="M163" s="14"/>
      <c r="N163" s="14"/>
      <c r="O163"/>
      <c r="P163"/>
      <c r="Q163"/>
      <c r="R163"/>
      <c r="S163"/>
      <c r="T163"/>
      <c r="U163"/>
      <c r="V163"/>
    </row>
    <row r="164" spans="1:22" s="38" customFormat="1" x14ac:dyDescent="0.25">
      <c r="A164" s="4"/>
      <c r="B164" s="4"/>
      <c r="C164" s="4"/>
      <c r="D164" s="14"/>
      <c r="K164" s="90"/>
      <c r="L164" s="14"/>
      <c r="N164" s="14"/>
      <c r="O164"/>
      <c r="P164"/>
      <c r="Q164"/>
      <c r="R164"/>
      <c r="S164"/>
      <c r="T164"/>
      <c r="U164"/>
      <c r="V164"/>
    </row>
    <row r="165" spans="1:22" s="38" customFormat="1" x14ac:dyDescent="0.25">
      <c r="A165" s="4"/>
      <c r="B165" s="4"/>
      <c r="C165" s="4"/>
      <c r="D165" s="14"/>
      <c r="G165" s="90"/>
      <c r="K165" s="90"/>
      <c r="L165" s="14"/>
      <c r="N165" s="14"/>
      <c r="O165"/>
      <c r="P165"/>
      <c r="Q165"/>
      <c r="R165"/>
      <c r="S165"/>
      <c r="T165"/>
      <c r="U165"/>
      <c r="V165"/>
    </row>
    <row r="166" spans="1:22" s="38" customFormat="1" x14ac:dyDescent="0.25">
      <c r="A166" s="4"/>
      <c r="B166" s="4"/>
      <c r="C166" s="4"/>
      <c r="D166" s="14"/>
      <c r="G166" s="90"/>
      <c r="K166" s="90"/>
      <c r="L166" s="14"/>
      <c r="M166" s="14"/>
      <c r="N166" s="14"/>
      <c r="O166"/>
      <c r="P166"/>
      <c r="Q166"/>
      <c r="R166"/>
      <c r="S166"/>
      <c r="T166"/>
      <c r="U166"/>
      <c r="V166"/>
    </row>
    <row r="167" spans="1:22" s="38" customFormat="1" x14ac:dyDescent="0.25">
      <c r="A167" s="4"/>
      <c r="B167" s="4"/>
      <c r="C167" s="4"/>
      <c r="D167" s="14"/>
      <c r="K167" s="90"/>
      <c r="L167" s="14"/>
      <c r="N167" s="14"/>
      <c r="O167"/>
      <c r="P167"/>
      <c r="Q167"/>
      <c r="R167"/>
      <c r="S167"/>
      <c r="T167"/>
      <c r="U167"/>
      <c r="V167"/>
    </row>
    <row r="168" spans="1:22" s="38" customFormat="1" x14ac:dyDescent="0.25">
      <c r="A168" s="4"/>
      <c r="B168" s="4"/>
      <c r="C168" s="4"/>
      <c r="D168" s="14"/>
      <c r="G168" s="90"/>
      <c r="J168" s="90"/>
      <c r="K168" s="90"/>
      <c r="L168" s="14"/>
      <c r="M168" s="4"/>
      <c r="N168" s="14"/>
      <c r="O168"/>
      <c r="P168"/>
      <c r="Q168"/>
      <c r="R168"/>
      <c r="S168"/>
      <c r="T168"/>
      <c r="U168"/>
      <c r="V168"/>
    </row>
    <row r="169" spans="1:22" s="38" customFormat="1" x14ac:dyDescent="0.25">
      <c r="A169" s="4"/>
      <c r="B169" s="4"/>
      <c r="C169" s="4"/>
      <c r="D169" s="14"/>
      <c r="G169" s="90"/>
      <c r="K169" s="90"/>
      <c r="L169" s="14"/>
      <c r="N169" s="14"/>
      <c r="O169"/>
      <c r="P169"/>
      <c r="Q169"/>
      <c r="R169"/>
      <c r="S169"/>
      <c r="T169"/>
      <c r="U169"/>
      <c r="V169"/>
    </row>
    <row r="170" spans="1:22" s="38" customFormat="1" x14ac:dyDescent="0.25">
      <c r="A170" s="4"/>
      <c r="B170" s="4"/>
      <c r="C170" s="4"/>
      <c r="D170" s="14"/>
      <c r="G170" s="90"/>
      <c r="J170" s="90"/>
      <c r="K170" s="90"/>
      <c r="L170" s="14"/>
      <c r="M170" s="14"/>
      <c r="N170" s="14"/>
      <c r="O170"/>
      <c r="P170"/>
      <c r="Q170"/>
      <c r="R170"/>
      <c r="S170"/>
      <c r="T170"/>
      <c r="U170"/>
      <c r="V170"/>
    </row>
    <row r="171" spans="1:22" s="38" customFormat="1" x14ac:dyDescent="0.25">
      <c r="A171" s="4"/>
      <c r="B171" s="4"/>
      <c r="C171" s="4"/>
      <c r="D171" s="14"/>
      <c r="G171" s="90"/>
      <c r="J171" s="90"/>
      <c r="K171" s="90"/>
      <c r="L171" s="14"/>
      <c r="M171" s="14"/>
      <c r="N171" s="14"/>
      <c r="O171"/>
      <c r="P171"/>
      <c r="Q171"/>
      <c r="R171"/>
      <c r="S171"/>
      <c r="T171"/>
      <c r="U171"/>
      <c r="V171"/>
    </row>
    <row r="172" spans="1:22" s="38" customFormat="1" x14ac:dyDescent="0.25">
      <c r="A172" s="4"/>
      <c r="B172" s="4"/>
      <c r="C172" s="4"/>
      <c r="D172" s="14"/>
      <c r="G172" s="90"/>
      <c r="J172" s="90"/>
      <c r="K172" s="90"/>
      <c r="L172" s="14"/>
      <c r="M172" s="4"/>
      <c r="N172" s="14"/>
      <c r="O172"/>
      <c r="P172"/>
      <c r="Q172"/>
      <c r="R172"/>
      <c r="S172"/>
      <c r="T172"/>
      <c r="U172"/>
      <c r="V172"/>
    </row>
    <row r="173" spans="1:22" s="38" customFormat="1" x14ac:dyDescent="0.25">
      <c r="A173" s="4"/>
      <c r="B173" s="4"/>
      <c r="C173" s="4"/>
      <c r="D173" s="14"/>
      <c r="G173" s="90"/>
      <c r="K173" s="90"/>
      <c r="L173" s="14"/>
      <c r="M173" s="2"/>
      <c r="N173" s="14"/>
      <c r="O173"/>
      <c r="P173"/>
      <c r="Q173"/>
      <c r="R173"/>
      <c r="S173"/>
      <c r="T173"/>
      <c r="U173"/>
      <c r="V173"/>
    </row>
    <row r="174" spans="1:22" s="38" customFormat="1" x14ac:dyDescent="0.25">
      <c r="A174" s="4"/>
      <c r="B174" s="4"/>
      <c r="C174" s="4"/>
      <c r="D174" s="14"/>
      <c r="G174" s="90"/>
      <c r="K174" s="90"/>
      <c r="L174" s="14"/>
      <c r="M174" s="14"/>
      <c r="N174" s="14"/>
      <c r="O174"/>
      <c r="P174"/>
      <c r="Q174"/>
      <c r="R174"/>
      <c r="S174"/>
      <c r="T174"/>
      <c r="U174"/>
      <c r="V174"/>
    </row>
    <row r="175" spans="1:22" s="38" customFormat="1" x14ac:dyDescent="0.25">
      <c r="A175" s="18"/>
      <c r="B175" s="18"/>
      <c r="C175" s="4"/>
      <c r="D175" s="14"/>
      <c r="E175" s="14"/>
      <c r="F175" s="18"/>
      <c r="G175" s="88"/>
      <c r="H175" s="18"/>
      <c r="I175" s="18"/>
      <c r="J175" s="88"/>
      <c r="K175" s="88"/>
      <c r="L175" s="14"/>
      <c r="M175" s="14"/>
      <c r="N175" s="4"/>
      <c r="O175"/>
      <c r="P175"/>
      <c r="Q175"/>
      <c r="R175"/>
      <c r="S175"/>
      <c r="T175"/>
      <c r="U175"/>
      <c r="V175"/>
    </row>
    <row r="176" spans="1:22" s="38" customFormat="1" x14ac:dyDescent="0.25">
      <c r="A176" s="18"/>
      <c r="B176" s="18"/>
      <c r="C176" s="4"/>
      <c r="D176" s="14"/>
      <c r="E176" s="14"/>
      <c r="F176" s="18"/>
      <c r="G176" s="88"/>
      <c r="H176" s="88"/>
      <c r="I176" s="18"/>
      <c r="J176" s="88"/>
      <c r="K176" s="88"/>
      <c r="L176" s="14"/>
      <c r="M176" s="14"/>
      <c r="N176" s="4"/>
      <c r="O176"/>
      <c r="P176"/>
      <c r="Q176"/>
      <c r="R176"/>
      <c r="S176"/>
      <c r="T176"/>
      <c r="U176"/>
      <c r="V176"/>
    </row>
    <row r="177" spans="1:22" s="38" customFormat="1" x14ac:dyDescent="0.25">
      <c r="A177" s="14"/>
      <c r="B177" s="14"/>
      <c r="C177" s="4"/>
      <c r="D177" s="14"/>
      <c r="E177" s="14"/>
      <c r="F177" s="14"/>
      <c r="G177" s="52"/>
      <c r="H177" s="14"/>
      <c r="I177" s="14"/>
      <c r="J177" s="52"/>
      <c r="K177" s="88"/>
      <c r="L177" s="89"/>
      <c r="M177" s="14"/>
      <c r="N177" s="4"/>
      <c r="O177"/>
      <c r="P177"/>
      <c r="Q177"/>
      <c r="R177"/>
      <c r="S177"/>
      <c r="T177"/>
      <c r="U177"/>
      <c r="V177"/>
    </row>
    <row r="178" spans="1:22" s="38" customFormat="1" x14ac:dyDescent="0.25">
      <c r="A178" s="14"/>
      <c r="B178" s="14"/>
      <c r="C178" s="4"/>
      <c r="D178" s="14"/>
      <c r="E178" s="14"/>
      <c r="F178" s="14"/>
      <c r="G178" s="52"/>
      <c r="H178" s="14"/>
      <c r="I178" s="14"/>
      <c r="J178" s="52"/>
      <c r="K178" s="88"/>
      <c r="L178" s="89"/>
      <c r="M178" s="55"/>
      <c r="N178" s="4"/>
      <c r="O178"/>
      <c r="P178"/>
      <c r="Q178"/>
      <c r="R178"/>
      <c r="S178"/>
      <c r="T178"/>
      <c r="U178"/>
      <c r="V178"/>
    </row>
    <row r="180" spans="1:22" s="5" customFormat="1" x14ac:dyDescent="0.25">
      <c r="A180" s="2"/>
      <c r="B180" s="4"/>
      <c r="C180" s="2"/>
      <c r="D180" s="4"/>
      <c r="G180" s="90"/>
      <c r="H180" s="38"/>
      <c r="I180" s="38"/>
      <c r="J180" s="90"/>
      <c r="K180" s="90"/>
      <c r="L180" s="14"/>
      <c r="M180" s="14"/>
      <c r="N180" s="2"/>
      <c r="O180"/>
      <c r="P180"/>
      <c r="Q180"/>
      <c r="R180"/>
      <c r="S180"/>
      <c r="T180"/>
      <c r="U180"/>
      <c r="V180"/>
    </row>
    <row r="181" spans="1:22" s="5" customFormat="1" x14ac:dyDescent="0.25">
      <c r="A181" s="2"/>
      <c r="B181" s="4"/>
      <c r="C181" s="2"/>
      <c r="D181" s="14"/>
      <c r="G181" s="38"/>
      <c r="H181" s="38"/>
      <c r="I181" s="38"/>
      <c r="J181" s="90"/>
      <c r="K181" s="90"/>
      <c r="L181" s="14"/>
      <c r="M181" s="14"/>
      <c r="N181" s="2"/>
      <c r="O181"/>
      <c r="P181"/>
      <c r="Q181"/>
      <c r="R181"/>
      <c r="S181"/>
      <c r="T181"/>
      <c r="U181"/>
      <c r="V181"/>
    </row>
    <row r="182" spans="1:22" s="5" customFormat="1" x14ac:dyDescent="0.25">
      <c r="A182" s="2"/>
      <c r="B182" s="4"/>
      <c r="C182" s="2"/>
      <c r="D182" s="14"/>
      <c r="E182" s="4"/>
      <c r="F182" s="4"/>
      <c r="G182" s="87"/>
      <c r="H182" s="4"/>
      <c r="I182" s="38"/>
      <c r="J182" s="90"/>
      <c r="K182" s="90"/>
      <c r="L182" s="14"/>
      <c r="M182" s="4"/>
      <c r="N182" s="2"/>
      <c r="O182"/>
      <c r="P182"/>
      <c r="Q182"/>
      <c r="R182"/>
      <c r="S182"/>
      <c r="T182"/>
      <c r="U182"/>
      <c r="V182"/>
    </row>
    <row r="183" spans="1:22" s="5" customFormat="1" x14ac:dyDescent="0.25">
      <c r="A183" s="2"/>
      <c r="B183" s="4"/>
      <c r="C183" s="2"/>
      <c r="D183" s="14"/>
      <c r="G183" s="38"/>
      <c r="H183" s="38"/>
      <c r="I183" s="38"/>
      <c r="J183" s="90"/>
      <c r="K183" s="90"/>
      <c r="L183" s="14"/>
      <c r="M183" s="14"/>
      <c r="N183" s="2"/>
      <c r="O183"/>
      <c r="P183"/>
      <c r="Q183"/>
      <c r="R183"/>
      <c r="S183"/>
      <c r="T183"/>
      <c r="U183"/>
      <c r="V183"/>
    </row>
    <row r="184" spans="1:22" s="5" customFormat="1" x14ac:dyDescent="0.25">
      <c r="A184" s="2"/>
      <c r="B184" s="4"/>
      <c r="C184" s="2"/>
      <c r="D184" s="14"/>
      <c r="G184" s="38"/>
      <c r="H184" s="38"/>
      <c r="I184" s="38"/>
      <c r="J184" s="90"/>
      <c r="K184" s="90"/>
      <c r="L184" s="14"/>
      <c r="M184" s="14"/>
      <c r="N184" s="2"/>
      <c r="O184"/>
      <c r="P184"/>
      <c r="Q184"/>
      <c r="R184"/>
      <c r="S184"/>
      <c r="T184"/>
      <c r="U184"/>
      <c r="V184"/>
    </row>
    <row r="185" spans="1:22" s="5" customFormat="1" x14ac:dyDescent="0.25">
      <c r="A185" s="2"/>
      <c r="B185" s="4"/>
      <c r="C185" s="2"/>
      <c r="D185" s="14"/>
      <c r="G185" s="38"/>
      <c r="H185" s="38"/>
      <c r="I185" s="38"/>
      <c r="J185" s="90"/>
      <c r="K185" s="90"/>
      <c r="L185" s="14"/>
      <c r="M185" s="14"/>
      <c r="N185" s="2"/>
      <c r="O185"/>
      <c r="P185"/>
      <c r="Q185"/>
      <c r="R185"/>
      <c r="S185"/>
      <c r="T185"/>
      <c r="U185"/>
      <c r="V185"/>
    </row>
    <row r="186" spans="1:22" s="5" customFormat="1" x14ac:dyDescent="0.25">
      <c r="A186" s="2"/>
      <c r="B186" s="4"/>
      <c r="C186" s="2"/>
      <c r="D186" s="14"/>
      <c r="G186" s="38"/>
      <c r="H186" s="38"/>
      <c r="I186" s="38"/>
      <c r="J186" s="90"/>
      <c r="K186" s="90"/>
      <c r="L186" s="14"/>
      <c r="M186" s="14"/>
      <c r="N186" s="2"/>
      <c r="O186"/>
      <c r="P186"/>
      <c r="Q186"/>
      <c r="R186"/>
      <c r="S186"/>
      <c r="T186"/>
      <c r="U186"/>
      <c r="V186"/>
    </row>
    <row r="187" spans="1:22" s="5" customFormat="1" x14ac:dyDescent="0.25">
      <c r="A187" s="2"/>
      <c r="B187" s="4"/>
      <c r="C187" s="2"/>
      <c r="D187" s="14"/>
      <c r="G187" s="38"/>
      <c r="H187" s="38"/>
      <c r="I187" s="38"/>
      <c r="J187" s="90"/>
      <c r="K187" s="90"/>
      <c r="L187" s="14"/>
      <c r="M187" s="14"/>
      <c r="N187" s="2"/>
      <c r="O187"/>
      <c r="P187"/>
      <c r="Q187"/>
      <c r="R187"/>
      <c r="S187"/>
      <c r="T187"/>
      <c r="U187"/>
      <c r="V187"/>
    </row>
    <row r="188" spans="1:22" s="5" customFormat="1" x14ac:dyDescent="0.25">
      <c r="A188" s="2"/>
      <c r="B188" s="4"/>
      <c r="C188" s="2"/>
      <c r="D188" s="14"/>
      <c r="G188" s="38"/>
      <c r="H188" s="38"/>
      <c r="I188" s="38"/>
      <c r="J188" s="90"/>
      <c r="K188" s="90"/>
      <c r="L188" s="14"/>
      <c r="M188" s="14"/>
      <c r="N188" s="2"/>
      <c r="O188"/>
      <c r="P188"/>
      <c r="Q188"/>
      <c r="R188"/>
      <c r="S188"/>
      <c r="T188"/>
      <c r="U188"/>
      <c r="V188"/>
    </row>
    <row r="189" spans="1:22" s="5" customFormat="1" x14ac:dyDescent="0.25">
      <c r="A189" s="2"/>
      <c r="B189" s="4"/>
      <c r="C189" s="2"/>
      <c r="D189" s="14"/>
      <c r="G189" s="38"/>
      <c r="H189" s="38"/>
      <c r="I189" s="38"/>
      <c r="J189" s="90"/>
      <c r="K189" s="90"/>
      <c r="L189" s="14"/>
      <c r="M189" s="14"/>
      <c r="N189" s="2"/>
      <c r="O189"/>
      <c r="P189"/>
      <c r="Q189"/>
      <c r="R189"/>
      <c r="S189"/>
      <c r="T189"/>
      <c r="U189"/>
      <c r="V189"/>
    </row>
    <row r="190" spans="1:22" s="5" customFormat="1" x14ac:dyDescent="0.25">
      <c r="A190" s="2"/>
      <c r="B190" s="4"/>
      <c r="C190" s="2"/>
      <c r="D190" s="14"/>
      <c r="G190" s="38"/>
      <c r="H190" s="38"/>
      <c r="I190" s="38"/>
      <c r="J190" s="90"/>
      <c r="K190" s="90"/>
      <c r="L190" s="14"/>
      <c r="M190" s="14"/>
      <c r="N190" s="2"/>
      <c r="O190"/>
      <c r="P190"/>
      <c r="Q190"/>
      <c r="R190"/>
      <c r="S190"/>
      <c r="T190"/>
      <c r="U190"/>
      <c r="V190"/>
    </row>
    <row r="191" spans="1:22" s="5" customFormat="1" x14ac:dyDescent="0.25">
      <c r="A191" s="2"/>
      <c r="B191" s="4"/>
      <c r="C191" s="2"/>
      <c r="D191" s="14"/>
      <c r="G191" s="38"/>
      <c r="H191" s="38"/>
      <c r="I191" s="38"/>
      <c r="J191" s="90"/>
      <c r="K191" s="90"/>
      <c r="L191" s="14"/>
      <c r="M191" s="14"/>
      <c r="N191" s="2"/>
      <c r="O191"/>
      <c r="P191"/>
      <c r="Q191"/>
      <c r="R191"/>
      <c r="S191"/>
      <c r="T191"/>
      <c r="U191"/>
      <c r="V191"/>
    </row>
    <row r="192" spans="1:22" s="5" customFormat="1" x14ac:dyDescent="0.25">
      <c r="A192" s="2"/>
      <c r="B192" s="4"/>
      <c r="C192" s="2"/>
      <c r="D192" s="14"/>
      <c r="E192" s="2"/>
      <c r="G192" s="38"/>
      <c r="H192" s="38"/>
      <c r="I192" s="38"/>
      <c r="J192" s="90"/>
      <c r="K192" s="90"/>
      <c r="L192" s="14"/>
      <c r="M192" s="14"/>
      <c r="N192" s="2"/>
      <c r="O192"/>
      <c r="P192"/>
      <c r="Q192"/>
      <c r="R192"/>
      <c r="S192"/>
      <c r="T192"/>
      <c r="U192"/>
      <c r="V192"/>
    </row>
    <row r="193" spans="1:22" s="5" customFormat="1" x14ac:dyDescent="0.25">
      <c r="A193" s="2"/>
      <c r="B193" s="4"/>
      <c r="C193" s="2"/>
      <c r="D193" s="14"/>
      <c r="G193" s="38"/>
      <c r="H193" s="38"/>
      <c r="I193" s="38"/>
      <c r="J193" s="90"/>
      <c r="K193" s="90"/>
      <c r="L193" s="14"/>
      <c r="M193" s="14"/>
      <c r="N193" s="2"/>
      <c r="O193"/>
      <c r="P193"/>
      <c r="Q193"/>
      <c r="R193"/>
      <c r="S193"/>
      <c r="T193"/>
      <c r="U193"/>
      <c r="V193"/>
    </row>
    <row r="194" spans="1:22" s="5" customFormat="1" x14ac:dyDescent="0.25">
      <c r="A194" s="2"/>
      <c r="B194" s="4"/>
      <c r="C194" s="2"/>
      <c r="D194" s="14"/>
      <c r="G194" s="38"/>
      <c r="H194" s="38"/>
      <c r="I194" s="38"/>
      <c r="J194" s="90"/>
      <c r="K194" s="90"/>
      <c r="L194" s="14"/>
      <c r="M194" s="14"/>
      <c r="N194" s="2"/>
      <c r="O194"/>
      <c r="P194"/>
      <c r="Q194"/>
      <c r="R194"/>
      <c r="S194"/>
      <c r="T194"/>
      <c r="U194"/>
      <c r="V194"/>
    </row>
    <row r="195" spans="1:22" s="5" customFormat="1" x14ac:dyDescent="0.25">
      <c r="A195" s="2"/>
      <c r="B195" s="4"/>
      <c r="C195" s="2"/>
      <c r="D195" s="14"/>
      <c r="G195" s="38"/>
      <c r="H195" s="38"/>
      <c r="I195" s="38"/>
      <c r="J195" s="90"/>
      <c r="K195" s="90"/>
      <c r="L195" s="14"/>
      <c r="M195" s="14"/>
      <c r="N195" s="2"/>
      <c r="O195"/>
      <c r="P195"/>
      <c r="Q195"/>
      <c r="R195"/>
      <c r="S195"/>
      <c r="T195"/>
      <c r="U195"/>
      <c r="V195"/>
    </row>
    <row r="196" spans="1:22" s="5" customFormat="1" x14ac:dyDescent="0.25">
      <c r="A196" s="2"/>
      <c r="B196" s="4"/>
      <c r="C196" s="2"/>
      <c r="D196" s="14"/>
      <c r="G196" s="38"/>
      <c r="H196" s="38"/>
      <c r="I196" s="38"/>
      <c r="J196" s="90"/>
      <c r="K196" s="90"/>
      <c r="L196" s="14"/>
      <c r="M196" s="14"/>
      <c r="N196" s="2"/>
      <c r="O196"/>
      <c r="P196"/>
      <c r="Q196"/>
      <c r="R196"/>
      <c r="S196"/>
      <c r="T196"/>
      <c r="U196"/>
      <c r="V196"/>
    </row>
    <row r="197" spans="1:22" s="5" customFormat="1" x14ac:dyDescent="0.25">
      <c r="A197" s="2"/>
      <c r="B197" s="4"/>
      <c r="C197" s="2"/>
      <c r="D197" s="14"/>
      <c r="G197" s="38"/>
      <c r="H197" s="38"/>
      <c r="I197" s="38"/>
      <c r="J197" s="90"/>
      <c r="K197" s="90"/>
      <c r="L197" s="14"/>
      <c r="M197" s="14"/>
      <c r="N197" s="2"/>
      <c r="O197"/>
      <c r="P197"/>
      <c r="Q197"/>
      <c r="R197"/>
      <c r="S197"/>
      <c r="T197"/>
      <c r="U197"/>
      <c r="V197"/>
    </row>
    <row r="198" spans="1:22" s="5" customFormat="1" x14ac:dyDescent="0.25">
      <c r="A198" s="2"/>
      <c r="B198" s="4"/>
      <c r="C198" s="2"/>
      <c r="D198" s="14"/>
      <c r="G198" s="38"/>
      <c r="H198" s="38"/>
      <c r="I198" s="38"/>
      <c r="J198" s="90"/>
      <c r="K198" s="90"/>
      <c r="L198" s="14"/>
      <c r="M198" s="14"/>
      <c r="N198" s="2"/>
      <c r="O198"/>
      <c r="P198"/>
      <c r="Q198"/>
      <c r="R198"/>
      <c r="S198"/>
      <c r="T198"/>
      <c r="U198"/>
      <c r="V198"/>
    </row>
    <row r="199" spans="1:22" s="5" customFormat="1" x14ac:dyDescent="0.25">
      <c r="A199" s="2"/>
      <c r="B199" s="4"/>
      <c r="C199" s="2"/>
      <c r="D199" s="14"/>
      <c r="G199" s="90"/>
      <c r="H199" s="38"/>
      <c r="I199" s="38"/>
      <c r="J199" s="90"/>
      <c r="K199" s="90"/>
      <c r="L199" s="14"/>
      <c r="M199" s="14"/>
      <c r="N199" s="2"/>
      <c r="O199"/>
      <c r="P199"/>
      <c r="Q199"/>
      <c r="R199"/>
      <c r="S199"/>
      <c r="T199"/>
      <c r="U199"/>
      <c r="V199"/>
    </row>
    <row r="200" spans="1:22" s="5" customFormat="1" x14ac:dyDescent="0.25">
      <c r="A200" s="2"/>
      <c r="B200" s="4"/>
      <c r="C200" s="2"/>
      <c r="D200" s="14"/>
      <c r="G200" s="38"/>
      <c r="H200" s="38"/>
      <c r="I200" s="38"/>
      <c r="J200" s="90"/>
      <c r="K200" s="90"/>
      <c r="L200" s="14"/>
      <c r="M200" s="14"/>
      <c r="N200" s="2"/>
      <c r="O200"/>
      <c r="P200"/>
      <c r="Q200"/>
      <c r="R200"/>
      <c r="S200"/>
      <c r="T200"/>
      <c r="U200"/>
      <c r="V200"/>
    </row>
    <row r="201" spans="1:22" s="5" customFormat="1" x14ac:dyDescent="0.25">
      <c r="A201" s="2"/>
      <c r="B201" s="4"/>
      <c r="C201" s="2"/>
      <c r="D201" s="14"/>
      <c r="G201" s="38"/>
      <c r="H201" s="38"/>
      <c r="I201" s="38"/>
      <c r="J201" s="90"/>
      <c r="K201" s="90"/>
      <c r="L201" s="14"/>
      <c r="M201" s="14"/>
      <c r="N201" s="2"/>
      <c r="O201"/>
      <c r="P201"/>
      <c r="Q201"/>
      <c r="R201"/>
      <c r="S201"/>
      <c r="T201"/>
      <c r="U201"/>
      <c r="V201"/>
    </row>
    <row r="202" spans="1:22" s="5" customFormat="1" x14ac:dyDescent="0.25">
      <c r="A202" s="2"/>
      <c r="B202" s="4"/>
      <c r="C202" s="2"/>
      <c r="D202" s="14"/>
      <c r="G202" s="38"/>
      <c r="H202" s="38"/>
      <c r="I202" s="38"/>
      <c r="J202" s="90"/>
      <c r="K202" s="90"/>
      <c r="L202" s="14"/>
      <c r="M202" s="14"/>
      <c r="N202" s="2"/>
      <c r="O202"/>
      <c r="P202"/>
      <c r="Q202"/>
      <c r="R202"/>
      <c r="S202"/>
      <c r="T202"/>
      <c r="U202"/>
      <c r="V202"/>
    </row>
    <row r="203" spans="1:22" s="5" customFormat="1" x14ac:dyDescent="0.25">
      <c r="A203" s="2"/>
      <c r="B203" s="4"/>
      <c r="C203" s="2"/>
      <c r="D203" s="14"/>
      <c r="G203" s="38"/>
      <c r="H203" s="38"/>
      <c r="I203" s="38"/>
      <c r="J203" s="90"/>
      <c r="K203" s="90"/>
      <c r="L203" s="14"/>
      <c r="M203" s="14"/>
      <c r="N203" s="2"/>
      <c r="O203"/>
      <c r="P203"/>
      <c r="Q203"/>
      <c r="R203"/>
      <c r="S203"/>
      <c r="T203"/>
      <c r="U203"/>
      <c r="V203"/>
    </row>
    <row r="204" spans="1:22" s="5" customFormat="1" x14ac:dyDescent="0.25">
      <c r="A204" s="2"/>
      <c r="B204" s="4"/>
      <c r="C204" s="2"/>
      <c r="D204" s="14"/>
      <c r="G204" s="38"/>
      <c r="H204" s="38"/>
      <c r="I204" s="38"/>
      <c r="J204" s="90"/>
      <c r="K204" s="90"/>
      <c r="L204" s="14"/>
      <c r="M204" s="14"/>
      <c r="N204" s="2"/>
      <c r="O204"/>
      <c r="P204"/>
      <c r="Q204"/>
      <c r="R204"/>
      <c r="S204"/>
      <c r="T204"/>
      <c r="U204"/>
      <c r="V204"/>
    </row>
    <row r="205" spans="1:22" s="5" customFormat="1" x14ac:dyDescent="0.25">
      <c r="A205" s="2"/>
      <c r="B205" s="4"/>
      <c r="C205" s="2"/>
      <c r="D205" s="14"/>
      <c r="G205" s="38"/>
      <c r="H205" s="38"/>
      <c r="I205" s="38"/>
      <c r="J205" s="90"/>
      <c r="K205" s="90"/>
      <c r="L205" s="14"/>
      <c r="M205" s="14"/>
      <c r="N205" s="2"/>
      <c r="O205"/>
      <c r="P205"/>
      <c r="Q205"/>
      <c r="R205"/>
      <c r="S205"/>
      <c r="T205"/>
      <c r="U205"/>
      <c r="V205"/>
    </row>
    <row r="206" spans="1:22" s="5" customFormat="1" x14ac:dyDescent="0.25">
      <c r="A206" s="2"/>
      <c r="B206" s="4"/>
      <c r="C206" s="2"/>
      <c r="D206" s="14"/>
      <c r="G206" s="38"/>
      <c r="H206" s="38"/>
      <c r="I206" s="38"/>
      <c r="J206" s="90"/>
      <c r="K206" s="90"/>
      <c r="L206" s="14"/>
      <c r="M206" s="2"/>
      <c r="N206" s="2"/>
      <c r="O206"/>
      <c r="P206"/>
      <c r="Q206"/>
      <c r="R206"/>
      <c r="S206"/>
      <c r="T206"/>
      <c r="U206"/>
      <c r="V206"/>
    </row>
    <row r="207" spans="1:22" s="5" customFormat="1" x14ac:dyDescent="0.25">
      <c r="A207" s="2"/>
      <c r="B207" s="4"/>
      <c r="C207" s="2"/>
      <c r="D207" s="14"/>
      <c r="G207" s="38"/>
      <c r="H207" s="38"/>
      <c r="I207" s="38"/>
      <c r="J207" s="90"/>
      <c r="K207" s="90"/>
      <c r="L207" s="14"/>
      <c r="M207" s="2"/>
      <c r="N207" s="2"/>
      <c r="O207"/>
      <c r="P207"/>
      <c r="Q207"/>
      <c r="R207"/>
      <c r="S207"/>
      <c r="T207"/>
      <c r="U207"/>
      <c r="V207"/>
    </row>
    <row r="208" spans="1:22" s="5" customFormat="1" x14ac:dyDescent="0.25">
      <c r="A208" s="2"/>
      <c r="B208" s="4"/>
      <c r="C208" s="2"/>
      <c r="D208" s="14"/>
      <c r="G208" s="38"/>
      <c r="H208" s="38"/>
      <c r="I208" s="38"/>
      <c r="J208" s="90"/>
      <c r="K208" s="90"/>
      <c r="L208" s="14"/>
      <c r="M208" s="2"/>
      <c r="N208" s="2"/>
      <c r="O208"/>
      <c r="P208"/>
      <c r="Q208"/>
      <c r="R208"/>
      <c r="S208"/>
      <c r="T208"/>
      <c r="U208"/>
      <c r="V208"/>
    </row>
    <row r="209" spans="1:22" s="5" customFormat="1" x14ac:dyDescent="0.25">
      <c r="A209" s="2"/>
      <c r="B209" s="4"/>
      <c r="C209" s="2"/>
      <c r="D209" s="14"/>
      <c r="G209" s="38"/>
      <c r="H209" s="38"/>
      <c r="I209" s="38"/>
      <c r="J209" s="90"/>
      <c r="K209" s="90"/>
      <c r="L209" s="14"/>
      <c r="M209" s="2"/>
      <c r="N209" s="2"/>
      <c r="O209"/>
      <c r="P209"/>
      <c r="Q209"/>
      <c r="R209"/>
      <c r="S209"/>
      <c r="T209"/>
      <c r="U209"/>
      <c r="V209"/>
    </row>
    <row r="210" spans="1:22" s="5" customFormat="1" x14ac:dyDescent="0.25">
      <c r="A210" s="2"/>
      <c r="B210" s="4"/>
      <c r="C210" s="2"/>
      <c r="D210" s="14"/>
      <c r="G210" s="38"/>
      <c r="H210" s="38"/>
      <c r="I210" s="38"/>
      <c r="J210" s="90"/>
      <c r="K210" s="90"/>
      <c r="L210" s="14"/>
      <c r="M210" s="2"/>
      <c r="N210" s="2"/>
      <c r="O210"/>
      <c r="P210"/>
      <c r="Q210"/>
      <c r="R210"/>
      <c r="S210"/>
      <c r="T210"/>
      <c r="U210"/>
      <c r="V210"/>
    </row>
    <row r="211" spans="1:22" s="5" customFormat="1" x14ac:dyDescent="0.25">
      <c r="A211" s="2"/>
      <c r="B211" s="4"/>
      <c r="C211" s="2"/>
      <c r="D211" s="14"/>
      <c r="G211" s="38"/>
      <c r="H211" s="38"/>
      <c r="I211" s="38"/>
      <c r="J211" s="90"/>
      <c r="K211" s="90"/>
      <c r="L211" s="14"/>
      <c r="M211" s="2"/>
      <c r="N211" s="2"/>
      <c r="O211"/>
      <c r="P211"/>
      <c r="Q211"/>
      <c r="R211"/>
      <c r="S211"/>
      <c r="T211"/>
      <c r="U211"/>
      <c r="V211"/>
    </row>
    <row r="212" spans="1:22" s="5" customFormat="1" x14ac:dyDescent="0.25">
      <c r="A212" s="2"/>
      <c r="B212" s="4"/>
      <c r="C212" s="2"/>
      <c r="D212" s="14"/>
      <c r="G212" s="38"/>
      <c r="H212" s="38"/>
      <c r="I212" s="38"/>
      <c r="J212" s="90"/>
      <c r="K212" s="90"/>
      <c r="L212" s="14"/>
      <c r="M212" s="2"/>
      <c r="N212" s="2"/>
      <c r="O212"/>
      <c r="P212"/>
      <c r="Q212"/>
      <c r="R212"/>
      <c r="S212"/>
      <c r="T212"/>
      <c r="U212"/>
      <c r="V212"/>
    </row>
    <row r="213" spans="1:22" s="5" customFormat="1" x14ac:dyDescent="0.25">
      <c r="A213" s="2"/>
      <c r="B213" s="4"/>
      <c r="C213" s="2"/>
      <c r="D213" s="14"/>
      <c r="G213" s="38"/>
      <c r="H213" s="38"/>
      <c r="I213" s="38"/>
      <c r="J213" s="90"/>
      <c r="K213" s="90"/>
      <c r="L213" s="14"/>
      <c r="M213" s="2"/>
      <c r="N213" s="2"/>
      <c r="O213"/>
      <c r="P213"/>
      <c r="Q213"/>
      <c r="R213"/>
      <c r="S213"/>
      <c r="T213"/>
      <c r="U213"/>
      <c r="V213"/>
    </row>
    <row r="214" spans="1:22" s="5" customFormat="1" x14ac:dyDescent="0.25">
      <c r="A214" s="2"/>
      <c r="B214" s="4"/>
      <c r="C214" s="2"/>
      <c r="D214" s="14"/>
      <c r="G214" s="38"/>
      <c r="H214" s="38"/>
      <c r="I214" s="38"/>
      <c r="J214" s="90"/>
      <c r="K214" s="90"/>
      <c r="L214" s="14"/>
      <c r="M214" s="2"/>
      <c r="N214" s="2"/>
      <c r="O214"/>
      <c r="P214"/>
      <c r="Q214"/>
      <c r="R214"/>
      <c r="S214"/>
      <c r="T214"/>
      <c r="U214"/>
      <c r="V214"/>
    </row>
    <row r="215" spans="1:22" s="5" customFormat="1" x14ac:dyDescent="0.25">
      <c r="A215" s="2"/>
      <c r="B215" s="4"/>
      <c r="C215" s="2"/>
      <c r="D215" s="14"/>
      <c r="G215" s="38"/>
      <c r="H215" s="38"/>
      <c r="I215" s="38"/>
      <c r="J215" s="90"/>
      <c r="K215" s="90"/>
      <c r="L215" s="14"/>
      <c r="M215" s="2"/>
      <c r="N215" s="2"/>
      <c r="O215"/>
      <c r="P215"/>
      <c r="Q215"/>
      <c r="R215"/>
      <c r="S215"/>
      <c r="T215"/>
      <c r="U215"/>
      <c r="V215"/>
    </row>
    <row r="216" spans="1:22" s="5" customFormat="1" x14ac:dyDescent="0.25">
      <c r="A216" s="2"/>
      <c r="B216" s="4"/>
      <c r="C216" s="2"/>
      <c r="D216" s="14"/>
      <c r="G216" s="38"/>
      <c r="H216" s="38"/>
      <c r="I216" s="38"/>
      <c r="J216" s="90"/>
      <c r="K216" s="90"/>
      <c r="L216" s="14"/>
      <c r="M216" s="2"/>
      <c r="N216" s="2"/>
      <c r="O216"/>
      <c r="P216"/>
      <c r="Q216"/>
      <c r="R216"/>
      <c r="S216"/>
      <c r="T216"/>
      <c r="U216"/>
      <c r="V216"/>
    </row>
    <row r="217" spans="1:22" s="5" customFormat="1" x14ac:dyDescent="0.25">
      <c r="A217" s="2"/>
      <c r="B217" s="4"/>
      <c r="C217" s="2"/>
      <c r="D217" s="14"/>
      <c r="G217" s="38"/>
      <c r="H217" s="38"/>
      <c r="I217" s="38"/>
      <c r="J217" s="90"/>
      <c r="K217" s="90"/>
      <c r="L217" s="14"/>
      <c r="M217" s="2"/>
      <c r="N217" s="2"/>
      <c r="O217"/>
      <c r="P217"/>
      <c r="Q217"/>
      <c r="R217"/>
      <c r="S217"/>
      <c r="T217"/>
      <c r="U217"/>
      <c r="V217"/>
    </row>
    <row r="218" spans="1:22" s="5" customFormat="1" x14ac:dyDescent="0.25">
      <c r="A218" s="2"/>
      <c r="B218" s="4"/>
      <c r="C218" s="2"/>
      <c r="D218" s="14"/>
      <c r="G218" s="38"/>
      <c r="H218" s="38"/>
      <c r="I218" s="38"/>
      <c r="J218" s="90"/>
      <c r="K218" s="90"/>
      <c r="L218" s="14"/>
      <c r="M218" s="2"/>
      <c r="N218" s="2"/>
      <c r="O218"/>
      <c r="P218"/>
      <c r="Q218"/>
      <c r="R218"/>
      <c r="S218"/>
      <c r="T218"/>
      <c r="U218"/>
      <c r="V218"/>
    </row>
    <row r="219" spans="1:22" s="5" customFormat="1" x14ac:dyDescent="0.25">
      <c r="A219" s="2"/>
      <c r="B219" s="4"/>
      <c r="C219" s="2"/>
      <c r="D219" s="14"/>
      <c r="G219" s="38"/>
      <c r="H219" s="38"/>
      <c r="I219" s="38"/>
      <c r="J219" s="90"/>
      <c r="K219" s="90"/>
      <c r="L219" s="14"/>
      <c r="M219" s="2"/>
      <c r="N219" s="93"/>
      <c r="O219"/>
      <c r="P219"/>
      <c r="Q219"/>
      <c r="R219"/>
      <c r="S219"/>
      <c r="T219"/>
      <c r="U219"/>
      <c r="V219"/>
    </row>
    <row r="220" spans="1:22" s="5" customFormat="1" x14ac:dyDescent="0.25">
      <c r="A220" s="2"/>
      <c r="B220" s="4"/>
      <c r="C220" s="2"/>
      <c r="D220" s="14"/>
      <c r="G220" s="38"/>
      <c r="H220" s="38"/>
      <c r="I220" s="38"/>
      <c r="J220" s="90"/>
      <c r="K220" s="90"/>
      <c r="L220" s="14"/>
      <c r="M220" s="2"/>
      <c r="N220" s="2"/>
      <c r="O220"/>
      <c r="P220"/>
      <c r="Q220"/>
      <c r="R220"/>
      <c r="S220"/>
      <c r="T220"/>
      <c r="U220"/>
      <c r="V220"/>
    </row>
    <row r="221" spans="1:22" s="5" customFormat="1" x14ac:dyDescent="0.25">
      <c r="A221" s="2"/>
      <c r="B221" s="4"/>
      <c r="C221" s="2"/>
      <c r="D221" s="14"/>
      <c r="G221" s="38"/>
      <c r="H221" s="38"/>
      <c r="I221" s="38"/>
      <c r="J221" s="90"/>
      <c r="K221" s="90"/>
      <c r="L221" s="14"/>
      <c r="M221" s="2"/>
      <c r="N221" s="2"/>
      <c r="O221"/>
      <c r="P221"/>
      <c r="Q221"/>
      <c r="R221"/>
      <c r="S221"/>
      <c r="T221"/>
      <c r="U221"/>
      <c r="V221"/>
    </row>
    <row r="222" spans="1:22" s="5" customFormat="1" x14ac:dyDescent="0.25">
      <c r="A222" s="2"/>
      <c r="B222" s="4"/>
      <c r="C222" s="2"/>
      <c r="D222" s="14"/>
      <c r="G222" s="38"/>
      <c r="H222" s="38"/>
      <c r="I222" s="38"/>
      <c r="J222" s="90"/>
      <c r="K222" s="90"/>
      <c r="L222" s="14"/>
      <c r="M222" s="2"/>
      <c r="N222" s="2"/>
      <c r="O222"/>
      <c r="P222"/>
      <c r="Q222"/>
      <c r="R222"/>
      <c r="S222"/>
      <c r="T222"/>
      <c r="U222"/>
      <c r="V222"/>
    </row>
    <row r="223" spans="1:22" s="5" customFormat="1" x14ac:dyDescent="0.25">
      <c r="A223" s="2"/>
      <c r="B223" s="4"/>
      <c r="C223" s="2"/>
      <c r="D223" s="14"/>
      <c r="G223" s="38"/>
      <c r="H223" s="38"/>
      <c r="I223" s="38"/>
      <c r="J223" s="90"/>
      <c r="K223" s="90"/>
      <c r="L223" s="14"/>
      <c r="M223" s="2"/>
      <c r="N223" s="2"/>
      <c r="O223"/>
      <c r="P223"/>
      <c r="Q223"/>
      <c r="R223"/>
      <c r="S223"/>
      <c r="T223"/>
      <c r="U223"/>
      <c r="V223"/>
    </row>
    <row r="224" spans="1:22" s="5" customFormat="1" x14ac:dyDescent="0.25">
      <c r="A224" s="2"/>
      <c r="B224" s="4"/>
      <c r="C224" s="2"/>
      <c r="D224" s="14"/>
      <c r="G224" s="38"/>
      <c r="H224" s="38"/>
      <c r="I224" s="38"/>
      <c r="J224" s="90"/>
      <c r="K224" s="90"/>
      <c r="L224" s="14"/>
      <c r="M224" s="2"/>
      <c r="N224" s="2"/>
      <c r="O224"/>
      <c r="P224"/>
      <c r="Q224"/>
      <c r="R224"/>
      <c r="S224"/>
      <c r="T224"/>
      <c r="U224"/>
      <c r="V224"/>
    </row>
    <row r="225" spans="1:22" s="5" customFormat="1" x14ac:dyDescent="0.25">
      <c r="A225" s="2"/>
      <c r="B225" s="4"/>
      <c r="C225" s="2"/>
      <c r="D225" s="14"/>
      <c r="G225" s="38"/>
      <c r="H225" s="38"/>
      <c r="I225" s="38"/>
      <c r="J225" s="90"/>
      <c r="K225" s="90"/>
      <c r="L225" s="14"/>
      <c r="M225" s="2"/>
      <c r="N225" s="2"/>
      <c r="O225"/>
      <c r="P225"/>
      <c r="Q225"/>
      <c r="R225"/>
      <c r="S225"/>
      <c r="T225"/>
      <c r="U225"/>
      <c r="V225"/>
    </row>
    <row r="226" spans="1:22" s="5" customFormat="1" x14ac:dyDescent="0.25">
      <c r="A226" s="2"/>
      <c r="B226" s="4"/>
      <c r="C226" s="2"/>
      <c r="D226" s="14"/>
      <c r="G226" s="38"/>
      <c r="H226" s="38"/>
      <c r="I226" s="38"/>
      <c r="J226" s="90"/>
      <c r="K226" s="90"/>
      <c r="L226" s="14"/>
      <c r="M226" s="2"/>
      <c r="N226" s="2"/>
      <c r="O226"/>
      <c r="P226"/>
      <c r="Q226"/>
      <c r="R226"/>
      <c r="S226"/>
      <c r="T226"/>
      <c r="U226"/>
      <c r="V226"/>
    </row>
    <row r="227" spans="1:22" s="5" customFormat="1" x14ac:dyDescent="0.25">
      <c r="A227" s="2"/>
      <c r="B227" s="4"/>
      <c r="C227" s="2"/>
      <c r="D227" s="14"/>
      <c r="G227" s="38"/>
      <c r="H227" s="38"/>
      <c r="I227" s="38"/>
      <c r="J227" s="90"/>
      <c r="K227" s="90"/>
      <c r="L227" s="14"/>
      <c r="M227" s="2"/>
      <c r="N227" s="93"/>
      <c r="O227"/>
      <c r="P227"/>
      <c r="Q227"/>
      <c r="R227"/>
      <c r="S227"/>
      <c r="T227"/>
      <c r="U227"/>
      <c r="V227"/>
    </row>
    <row r="228" spans="1:22" s="5" customFormat="1" x14ac:dyDescent="0.25">
      <c r="A228" s="2"/>
      <c r="B228" s="4"/>
      <c r="C228" s="2"/>
      <c r="D228" s="14"/>
      <c r="G228" s="38"/>
      <c r="H228" s="38"/>
      <c r="I228" s="38"/>
      <c r="J228" s="90"/>
      <c r="K228" s="90"/>
      <c r="L228" s="14"/>
      <c r="M228" s="2"/>
      <c r="N228" s="2"/>
      <c r="O228"/>
      <c r="P228"/>
      <c r="Q228"/>
      <c r="R228"/>
      <c r="S228"/>
      <c r="T228"/>
      <c r="U228"/>
      <c r="V228"/>
    </row>
    <row r="229" spans="1:22" s="5" customFormat="1" x14ac:dyDescent="0.25">
      <c r="A229" s="2"/>
      <c r="B229" s="4"/>
      <c r="C229" s="2"/>
      <c r="D229" s="14"/>
      <c r="G229" s="38"/>
      <c r="H229" s="38"/>
      <c r="I229" s="38"/>
      <c r="J229" s="90"/>
      <c r="K229" s="90"/>
      <c r="L229" s="14"/>
      <c r="M229" s="2"/>
      <c r="N229" s="2"/>
      <c r="O229"/>
      <c r="P229"/>
      <c r="Q229"/>
      <c r="R229"/>
      <c r="S229"/>
      <c r="T229"/>
      <c r="U229"/>
      <c r="V229"/>
    </row>
    <row r="230" spans="1:22" s="5" customFormat="1" x14ac:dyDescent="0.25">
      <c r="A230" s="2"/>
      <c r="B230" s="4"/>
      <c r="C230" s="2"/>
      <c r="D230" s="14"/>
      <c r="G230" s="38"/>
      <c r="H230" s="38"/>
      <c r="I230" s="38"/>
      <c r="J230" s="90"/>
      <c r="K230" s="90"/>
      <c r="L230" s="14"/>
      <c r="M230" s="2"/>
      <c r="N230" s="2"/>
      <c r="O230"/>
      <c r="P230"/>
      <c r="Q230"/>
      <c r="R230"/>
      <c r="S230"/>
      <c r="T230"/>
      <c r="U230"/>
      <c r="V230"/>
    </row>
    <row r="231" spans="1:22" s="5" customFormat="1" x14ac:dyDescent="0.25">
      <c r="A231" s="2"/>
      <c r="B231" s="4"/>
      <c r="C231" s="2"/>
      <c r="D231" s="14"/>
      <c r="G231" s="38"/>
      <c r="H231" s="38"/>
      <c r="I231" s="38"/>
      <c r="J231" s="90"/>
      <c r="K231" s="90"/>
      <c r="L231" s="14"/>
      <c r="M231" s="2"/>
      <c r="N231" s="2"/>
      <c r="O231"/>
      <c r="P231"/>
      <c r="Q231"/>
      <c r="R231"/>
      <c r="S231"/>
      <c r="T231"/>
      <c r="U231"/>
      <c r="V231"/>
    </row>
    <row r="232" spans="1:22" s="5" customFormat="1" x14ac:dyDescent="0.25">
      <c r="A232" s="2"/>
      <c r="B232" s="4"/>
      <c r="C232" s="2"/>
      <c r="D232" s="14"/>
      <c r="G232" s="38"/>
      <c r="H232" s="38"/>
      <c r="I232" s="38"/>
      <c r="J232" s="90"/>
      <c r="K232" s="90"/>
      <c r="L232" s="14"/>
      <c r="M232" s="2"/>
      <c r="N232" s="93"/>
      <c r="O232"/>
      <c r="P232"/>
      <c r="Q232"/>
      <c r="R232"/>
      <c r="S232"/>
      <c r="T232"/>
      <c r="U232"/>
      <c r="V232"/>
    </row>
    <row r="233" spans="1:22" s="5" customFormat="1" x14ac:dyDescent="0.25">
      <c r="A233" s="2"/>
      <c r="B233" s="4"/>
      <c r="C233" s="2"/>
      <c r="D233" s="14"/>
      <c r="G233" s="38"/>
      <c r="H233" s="38"/>
      <c r="I233" s="38"/>
      <c r="J233" s="90"/>
      <c r="K233" s="90"/>
      <c r="L233" s="14"/>
      <c r="M233" s="2"/>
      <c r="N233" s="4"/>
      <c r="O233"/>
      <c r="P233"/>
      <c r="Q233"/>
      <c r="R233"/>
      <c r="S233"/>
      <c r="T233"/>
      <c r="U233"/>
      <c r="V233"/>
    </row>
    <row r="234" spans="1:22" s="5" customFormat="1" x14ac:dyDescent="0.25">
      <c r="A234" s="2"/>
      <c r="B234" s="4"/>
      <c r="C234" s="2"/>
      <c r="D234" s="14"/>
      <c r="G234" s="38"/>
      <c r="H234" s="38"/>
      <c r="I234" s="38"/>
      <c r="J234" s="90"/>
      <c r="K234" s="90"/>
      <c r="L234" s="14"/>
      <c r="M234" s="2"/>
      <c r="N234" s="2"/>
      <c r="O234"/>
      <c r="P234"/>
      <c r="Q234"/>
      <c r="R234"/>
      <c r="S234"/>
      <c r="T234"/>
      <c r="U234"/>
      <c r="V234"/>
    </row>
    <row r="235" spans="1:22" s="5" customFormat="1" x14ac:dyDescent="0.25">
      <c r="A235" s="2"/>
      <c r="B235" s="4"/>
      <c r="C235" s="2"/>
      <c r="D235" s="14"/>
      <c r="G235" s="38"/>
      <c r="H235" s="38"/>
      <c r="I235" s="38"/>
      <c r="J235" s="90"/>
      <c r="K235" s="90"/>
      <c r="L235" s="14"/>
      <c r="M235" s="2"/>
      <c r="N235" s="2"/>
      <c r="O235"/>
      <c r="P235"/>
      <c r="Q235"/>
      <c r="R235"/>
      <c r="S235"/>
      <c r="T235"/>
      <c r="U235"/>
      <c r="V235"/>
    </row>
    <row r="236" spans="1:22" s="5" customFormat="1" x14ac:dyDescent="0.25">
      <c r="A236" s="2"/>
      <c r="B236" s="4"/>
      <c r="C236" s="2"/>
      <c r="D236" s="14"/>
      <c r="G236" s="38"/>
      <c r="H236" s="38"/>
      <c r="I236" s="38"/>
      <c r="J236" s="90"/>
      <c r="K236" s="90"/>
      <c r="L236" s="14"/>
      <c r="M236" s="2"/>
      <c r="N236" s="2"/>
      <c r="O236"/>
      <c r="P236"/>
      <c r="Q236"/>
      <c r="R236"/>
      <c r="S236"/>
      <c r="T236"/>
      <c r="U236"/>
      <c r="V236"/>
    </row>
    <row r="237" spans="1:22" s="5" customFormat="1" x14ac:dyDescent="0.25">
      <c r="A237" s="2"/>
      <c r="B237" s="4"/>
      <c r="C237" s="2"/>
      <c r="D237" s="14"/>
      <c r="G237" s="38"/>
      <c r="H237" s="38"/>
      <c r="I237" s="38"/>
      <c r="J237" s="90"/>
      <c r="K237" s="90"/>
      <c r="L237" s="14"/>
      <c r="M237" s="2"/>
      <c r="N237" s="2"/>
      <c r="O237"/>
      <c r="P237"/>
      <c r="Q237"/>
      <c r="R237"/>
      <c r="S237"/>
      <c r="T237"/>
      <c r="U237"/>
      <c r="V237"/>
    </row>
    <row r="238" spans="1:22" s="5" customFormat="1" x14ac:dyDescent="0.25">
      <c r="A238" s="2"/>
      <c r="B238" s="4"/>
      <c r="C238" s="2"/>
      <c r="D238" s="14"/>
      <c r="G238" s="38"/>
      <c r="H238" s="38"/>
      <c r="I238" s="38"/>
      <c r="J238" s="90"/>
      <c r="K238" s="90"/>
      <c r="L238" s="14"/>
      <c r="M238" s="2"/>
      <c r="N238" s="2"/>
      <c r="O238"/>
      <c r="P238"/>
      <c r="Q238"/>
      <c r="R238"/>
      <c r="S238"/>
      <c r="T238"/>
      <c r="U238"/>
      <c r="V238"/>
    </row>
    <row r="239" spans="1:22" s="5" customFormat="1" x14ac:dyDescent="0.25">
      <c r="A239" s="2"/>
      <c r="B239" s="4"/>
      <c r="C239" s="2"/>
      <c r="D239" s="14"/>
      <c r="G239" s="38"/>
      <c r="H239" s="38"/>
      <c r="I239" s="38"/>
      <c r="J239" s="90"/>
      <c r="K239" s="90"/>
      <c r="L239" s="14"/>
      <c r="M239" s="2"/>
      <c r="N239" s="2"/>
      <c r="O239"/>
      <c r="P239"/>
      <c r="Q239"/>
      <c r="R239"/>
      <c r="S239"/>
      <c r="T239"/>
      <c r="U239"/>
      <c r="V239"/>
    </row>
    <row r="240" spans="1:22" s="5" customFormat="1" x14ac:dyDescent="0.25">
      <c r="A240" s="2"/>
      <c r="B240" s="4"/>
      <c r="C240" s="2"/>
      <c r="D240" s="14"/>
      <c r="G240" s="38"/>
      <c r="H240" s="38"/>
      <c r="I240" s="38"/>
      <c r="J240" s="90"/>
      <c r="K240" s="90"/>
      <c r="L240" s="14"/>
      <c r="M240" s="2"/>
      <c r="N240" s="93"/>
      <c r="O240"/>
      <c r="P240"/>
      <c r="Q240"/>
      <c r="R240"/>
      <c r="S240"/>
      <c r="T240"/>
      <c r="U240"/>
      <c r="V240"/>
    </row>
    <row r="241" spans="1:22" s="5" customFormat="1" x14ac:dyDescent="0.25">
      <c r="A241" s="2"/>
      <c r="B241" s="4"/>
      <c r="C241" s="2"/>
      <c r="D241" s="14"/>
      <c r="G241" s="38"/>
      <c r="H241" s="38"/>
      <c r="I241" s="38"/>
      <c r="J241" s="90"/>
      <c r="K241" s="90"/>
      <c r="L241" s="14"/>
      <c r="M241" s="2"/>
      <c r="N241" s="2"/>
      <c r="O241"/>
      <c r="P241"/>
      <c r="Q241"/>
      <c r="R241"/>
      <c r="S241"/>
      <c r="T241"/>
      <c r="U241"/>
      <c r="V241"/>
    </row>
    <row r="242" spans="1:22" s="5" customFormat="1" x14ac:dyDescent="0.25">
      <c r="A242" s="2"/>
      <c r="B242" s="4"/>
      <c r="C242" s="2"/>
      <c r="D242" s="14"/>
      <c r="G242" s="38"/>
      <c r="H242" s="38"/>
      <c r="I242" s="38"/>
      <c r="J242" s="90"/>
      <c r="K242" s="90"/>
      <c r="L242" s="14"/>
      <c r="M242" s="2"/>
      <c r="N242" s="2"/>
      <c r="O242"/>
      <c r="P242"/>
      <c r="Q242"/>
      <c r="R242"/>
      <c r="S242"/>
      <c r="T242"/>
      <c r="U242"/>
      <c r="V242"/>
    </row>
    <row r="243" spans="1:22" s="5" customFormat="1" x14ac:dyDescent="0.25">
      <c r="A243" s="2"/>
      <c r="B243" s="4"/>
      <c r="C243" s="2"/>
      <c r="D243" s="14"/>
      <c r="G243" s="38"/>
      <c r="H243" s="38"/>
      <c r="I243" s="38"/>
      <c r="J243" s="90"/>
      <c r="K243" s="90"/>
      <c r="L243" s="14"/>
      <c r="M243" s="2"/>
      <c r="N243" s="2"/>
      <c r="O243"/>
      <c r="P243"/>
      <c r="Q243"/>
      <c r="R243"/>
      <c r="S243"/>
      <c r="T243"/>
      <c r="U243"/>
      <c r="V243"/>
    </row>
    <row r="244" spans="1:22" s="5" customFormat="1" x14ac:dyDescent="0.25">
      <c r="A244" s="2"/>
      <c r="B244" s="4"/>
      <c r="C244" s="2"/>
      <c r="D244" s="14"/>
      <c r="G244" s="38"/>
      <c r="H244" s="38"/>
      <c r="I244" s="38"/>
      <c r="J244" s="90"/>
      <c r="K244" s="90"/>
      <c r="L244" s="14"/>
      <c r="M244" s="2"/>
      <c r="N244" s="2"/>
      <c r="O244"/>
      <c r="P244"/>
      <c r="Q244"/>
      <c r="R244"/>
      <c r="S244"/>
      <c r="T244"/>
      <c r="U244"/>
      <c r="V244"/>
    </row>
    <row r="245" spans="1:22" s="5" customFormat="1" x14ac:dyDescent="0.25">
      <c r="A245" s="2"/>
      <c r="B245" s="4"/>
      <c r="C245" s="2"/>
      <c r="D245" s="14"/>
      <c r="G245" s="38"/>
      <c r="H245" s="38"/>
      <c r="I245" s="38"/>
      <c r="J245" s="90"/>
      <c r="K245" s="90"/>
      <c r="L245" s="14"/>
      <c r="M245" s="2"/>
      <c r="N245" s="94"/>
      <c r="O245"/>
      <c r="P245"/>
      <c r="Q245"/>
      <c r="R245"/>
      <c r="S245"/>
      <c r="T245"/>
      <c r="U245"/>
      <c r="V245"/>
    </row>
    <row r="246" spans="1:22" s="5" customFormat="1" x14ac:dyDescent="0.25">
      <c r="A246" s="2"/>
      <c r="B246" s="4"/>
      <c r="C246" s="2"/>
      <c r="D246" s="14"/>
      <c r="G246" s="38"/>
      <c r="H246" s="38"/>
      <c r="I246" s="38"/>
      <c r="J246" s="90"/>
      <c r="K246" s="90"/>
      <c r="L246" s="14"/>
      <c r="M246" s="2"/>
      <c r="N246" s="2"/>
      <c r="O246"/>
      <c r="P246"/>
      <c r="Q246"/>
      <c r="R246"/>
      <c r="S246"/>
      <c r="T246"/>
      <c r="U246"/>
      <c r="V246"/>
    </row>
    <row r="247" spans="1:22" s="5" customFormat="1" x14ac:dyDescent="0.25">
      <c r="A247" s="2"/>
      <c r="B247" s="4"/>
      <c r="C247" s="2"/>
      <c r="D247" s="14"/>
      <c r="G247" s="38"/>
      <c r="H247" s="38"/>
      <c r="I247" s="38"/>
      <c r="J247" s="90"/>
      <c r="K247" s="90"/>
      <c r="L247" s="14"/>
      <c r="M247" s="2"/>
      <c r="N247" s="2"/>
      <c r="O247"/>
      <c r="P247"/>
      <c r="Q247"/>
      <c r="R247"/>
      <c r="S247"/>
      <c r="T247"/>
      <c r="U247"/>
      <c r="V247"/>
    </row>
    <row r="248" spans="1:22" s="5" customFormat="1" x14ac:dyDescent="0.25">
      <c r="A248" s="2"/>
      <c r="B248" s="4"/>
      <c r="C248" s="2"/>
      <c r="D248" s="14"/>
      <c r="G248" s="38"/>
      <c r="H248" s="38"/>
      <c r="I248" s="38"/>
      <c r="J248" s="90"/>
      <c r="K248" s="90"/>
      <c r="L248" s="14"/>
      <c r="M248" s="2"/>
      <c r="N248" s="2"/>
      <c r="O248"/>
      <c r="P248"/>
      <c r="Q248"/>
      <c r="R248"/>
      <c r="S248"/>
      <c r="T248"/>
      <c r="U248"/>
      <c r="V248"/>
    </row>
    <row r="249" spans="1:22" s="5" customFormat="1" x14ac:dyDescent="0.25">
      <c r="A249" s="2"/>
      <c r="B249" s="4"/>
      <c r="C249" s="2"/>
      <c r="D249" s="14"/>
      <c r="G249" s="38"/>
      <c r="H249" s="38"/>
      <c r="I249" s="38"/>
      <c r="J249" s="90"/>
      <c r="K249" s="90"/>
      <c r="L249" s="14"/>
      <c r="M249" s="2"/>
      <c r="N249" s="2"/>
      <c r="O249"/>
      <c r="P249"/>
      <c r="Q249"/>
      <c r="R249"/>
      <c r="S249"/>
      <c r="T249"/>
      <c r="U249"/>
      <c r="V249"/>
    </row>
    <row r="250" spans="1:22" s="5" customFormat="1" x14ac:dyDescent="0.25">
      <c r="A250" s="2"/>
      <c r="B250" s="4"/>
      <c r="C250" s="2"/>
      <c r="D250" s="14"/>
      <c r="G250" s="38"/>
      <c r="H250" s="38"/>
      <c r="I250" s="38"/>
      <c r="J250" s="90"/>
      <c r="K250" s="90"/>
      <c r="L250" s="14"/>
      <c r="M250" s="2"/>
      <c r="N250" s="2"/>
      <c r="O250"/>
      <c r="P250"/>
      <c r="Q250"/>
      <c r="R250"/>
      <c r="S250"/>
      <c r="T250"/>
      <c r="U250"/>
      <c r="V250"/>
    </row>
    <row r="251" spans="1:22" s="5" customFormat="1" x14ac:dyDescent="0.25">
      <c r="A251" s="2"/>
      <c r="B251" s="4"/>
      <c r="C251" s="2"/>
      <c r="D251" s="14"/>
      <c r="G251" s="38"/>
      <c r="H251" s="38"/>
      <c r="I251" s="38"/>
      <c r="J251" s="90"/>
      <c r="K251" s="90"/>
      <c r="L251" s="14"/>
      <c r="M251" s="2"/>
      <c r="N251" s="2"/>
      <c r="O251"/>
      <c r="P251"/>
      <c r="Q251"/>
      <c r="R251"/>
      <c r="S251"/>
      <c r="T251"/>
      <c r="U251"/>
      <c r="V251"/>
    </row>
    <row r="252" spans="1:22" s="5" customFormat="1" x14ac:dyDescent="0.25">
      <c r="A252" s="2"/>
      <c r="B252" s="4"/>
      <c r="C252" s="2"/>
      <c r="D252" s="14"/>
      <c r="G252" s="38"/>
      <c r="H252" s="38"/>
      <c r="I252" s="38"/>
      <c r="J252" s="90"/>
      <c r="K252" s="90"/>
      <c r="L252" s="14"/>
      <c r="M252" s="2"/>
      <c r="N252" s="2"/>
      <c r="O252"/>
      <c r="P252"/>
      <c r="Q252"/>
      <c r="R252"/>
      <c r="S252"/>
      <c r="T252"/>
      <c r="U252"/>
      <c r="V252"/>
    </row>
    <row r="253" spans="1:22" s="5" customFormat="1" x14ac:dyDescent="0.25">
      <c r="A253" s="2"/>
      <c r="B253" s="4"/>
      <c r="C253" s="2"/>
      <c r="D253" s="14"/>
      <c r="G253" s="38"/>
      <c r="H253" s="38"/>
      <c r="I253" s="38"/>
      <c r="J253" s="90"/>
      <c r="K253" s="90"/>
      <c r="L253" s="14"/>
      <c r="M253" s="14"/>
      <c r="N253" s="2"/>
      <c r="O253"/>
      <c r="P253"/>
      <c r="Q253"/>
      <c r="R253"/>
      <c r="S253"/>
      <c r="T253"/>
      <c r="U253"/>
      <c r="V253"/>
    </row>
    <row r="254" spans="1:22" s="5" customFormat="1" x14ac:dyDescent="0.25">
      <c r="A254" s="2"/>
      <c r="B254" s="4"/>
      <c r="C254" s="2"/>
      <c r="D254" s="14"/>
      <c r="G254" s="38"/>
      <c r="H254" s="38"/>
      <c r="I254" s="38"/>
      <c r="J254" s="90"/>
      <c r="K254" s="90"/>
      <c r="L254" s="14"/>
      <c r="M254" s="4"/>
      <c r="N254" s="2"/>
      <c r="O254"/>
      <c r="P254"/>
      <c r="Q254"/>
      <c r="R254"/>
      <c r="S254"/>
      <c r="T254"/>
      <c r="U254"/>
      <c r="V254"/>
    </row>
    <row r="255" spans="1:22" s="5" customFormat="1" x14ac:dyDescent="0.25">
      <c r="A255" s="2"/>
      <c r="B255" s="4"/>
      <c r="C255" s="2"/>
      <c r="D255" s="14"/>
      <c r="G255" s="38"/>
      <c r="H255" s="38"/>
      <c r="I255" s="38"/>
      <c r="J255" s="90"/>
      <c r="K255" s="90"/>
      <c r="L255" s="14"/>
      <c r="M255" s="2"/>
      <c r="N255" s="2"/>
      <c r="O255"/>
      <c r="P255"/>
      <c r="Q255"/>
      <c r="R255"/>
      <c r="S255"/>
      <c r="T255"/>
      <c r="U255"/>
      <c r="V255"/>
    </row>
    <row r="256" spans="1:22" s="5" customFormat="1" x14ac:dyDescent="0.25">
      <c r="G256" s="38"/>
      <c r="H256" s="38"/>
      <c r="I256" s="38"/>
      <c r="J256" s="90"/>
      <c r="K256" s="38"/>
      <c r="M256" s="2"/>
      <c r="N256" s="2"/>
      <c r="O256"/>
      <c r="P256"/>
      <c r="Q256"/>
      <c r="R256"/>
      <c r="S256"/>
      <c r="T256"/>
      <c r="U256"/>
      <c r="V256"/>
    </row>
    <row r="257" spans="1:22" s="5" customFormat="1" x14ac:dyDescent="0.25">
      <c r="A257" s="2"/>
      <c r="B257" s="4"/>
      <c r="C257" s="2"/>
      <c r="D257" s="14"/>
      <c r="G257" s="38"/>
      <c r="H257" s="38"/>
      <c r="I257" s="38"/>
      <c r="J257" s="90"/>
      <c r="K257" s="90"/>
      <c r="L257" s="14"/>
      <c r="M257" s="2"/>
      <c r="N257" s="2"/>
      <c r="O257"/>
      <c r="P257"/>
      <c r="Q257"/>
      <c r="R257"/>
      <c r="S257"/>
      <c r="T257"/>
      <c r="U257"/>
      <c r="V257"/>
    </row>
    <row r="258" spans="1:22" s="5" customFormat="1" x14ac:dyDescent="0.25">
      <c r="A258" s="2"/>
      <c r="B258" s="4"/>
      <c r="C258" s="2"/>
      <c r="D258" s="14"/>
      <c r="G258" s="38"/>
      <c r="H258" s="38"/>
      <c r="I258" s="38"/>
      <c r="J258" s="90"/>
      <c r="K258" s="90"/>
      <c r="L258" s="14"/>
      <c r="M258" s="2"/>
      <c r="N258" s="2"/>
      <c r="O258"/>
      <c r="P258"/>
      <c r="Q258"/>
      <c r="R258"/>
      <c r="S258"/>
      <c r="T258"/>
      <c r="U258"/>
      <c r="V258"/>
    </row>
    <row r="259" spans="1:22" s="5" customFormat="1" x14ac:dyDescent="0.25">
      <c r="A259" s="2"/>
      <c r="B259" s="4"/>
      <c r="C259" s="2"/>
      <c r="D259" s="14"/>
      <c r="G259" s="38"/>
      <c r="H259" s="38"/>
      <c r="I259" s="38"/>
      <c r="J259" s="90"/>
      <c r="K259" s="90"/>
      <c r="L259" s="14"/>
      <c r="M259" s="14"/>
      <c r="N259" s="2"/>
      <c r="O259"/>
      <c r="P259"/>
      <c r="Q259"/>
      <c r="R259"/>
      <c r="S259"/>
      <c r="T259"/>
      <c r="U259"/>
      <c r="V259"/>
    </row>
    <row r="260" spans="1:22" s="5" customFormat="1" x14ac:dyDescent="0.25">
      <c r="A260" s="2"/>
      <c r="B260" s="4"/>
      <c r="C260" s="2"/>
      <c r="D260" s="14"/>
      <c r="G260" s="38"/>
      <c r="H260" s="38"/>
      <c r="I260" s="38"/>
      <c r="J260" s="90"/>
      <c r="K260" s="90"/>
      <c r="L260" s="14"/>
      <c r="M260" s="2"/>
      <c r="N260" s="2"/>
      <c r="O260"/>
      <c r="P260"/>
      <c r="Q260"/>
      <c r="R260"/>
      <c r="S260"/>
      <c r="T260"/>
      <c r="U260"/>
      <c r="V260"/>
    </row>
    <row r="261" spans="1:22" s="5" customFormat="1" x14ac:dyDescent="0.25">
      <c r="A261" s="2"/>
      <c r="B261" s="4"/>
      <c r="C261" s="2"/>
      <c r="D261" s="14"/>
      <c r="G261" s="38"/>
      <c r="H261" s="38"/>
      <c r="I261" s="38"/>
      <c r="J261" s="90"/>
      <c r="K261" s="90"/>
      <c r="L261" s="14"/>
      <c r="M261" s="2"/>
      <c r="N261" s="2"/>
      <c r="O261"/>
      <c r="P261"/>
      <c r="Q261"/>
      <c r="R261"/>
      <c r="S261"/>
      <c r="T261"/>
      <c r="U261"/>
      <c r="V261"/>
    </row>
    <row r="262" spans="1:22" s="5" customFormat="1" x14ac:dyDescent="0.25">
      <c r="A262" s="2"/>
      <c r="B262" s="4"/>
      <c r="C262" s="2"/>
      <c r="D262" s="14"/>
      <c r="G262" s="38"/>
      <c r="H262" s="38"/>
      <c r="I262" s="38"/>
      <c r="J262" s="90"/>
      <c r="K262" s="90"/>
      <c r="L262" s="14"/>
      <c r="M262" s="2"/>
      <c r="N262" s="2"/>
      <c r="O262"/>
      <c r="P262"/>
      <c r="Q262"/>
      <c r="R262"/>
      <c r="S262"/>
      <c r="T262"/>
      <c r="U262"/>
      <c r="V262"/>
    </row>
    <row r="263" spans="1:22" s="5" customFormat="1" x14ac:dyDescent="0.25">
      <c r="A263" s="2"/>
      <c r="B263" s="4"/>
      <c r="C263" s="2"/>
      <c r="D263" s="14"/>
      <c r="G263" s="38"/>
      <c r="H263" s="38"/>
      <c r="I263" s="38"/>
      <c r="J263" s="90"/>
      <c r="K263" s="90"/>
      <c r="L263" s="14"/>
      <c r="M263" s="2"/>
      <c r="N263" s="2"/>
      <c r="O263"/>
      <c r="P263"/>
      <c r="Q263"/>
      <c r="R263"/>
      <c r="S263"/>
      <c r="T263"/>
      <c r="U263"/>
      <c r="V263"/>
    </row>
    <row r="264" spans="1:22" s="5" customFormat="1" x14ac:dyDescent="0.25">
      <c r="A264" s="2"/>
      <c r="B264" s="4"/>
      <c r="C264" s="2"/>
      <c r="D264" s="14"/>
      <c r="G264" s="38"/>
      <c r="H264" s="38"/>
      <c r="I264" s="38"/>
      <c r="J264" s="90"/>
      <c r="K264" s="90"/>
      <c r="L264" s="14"/>
      <c r="M264" s="2"/>
      <c r="N264" s="2"/>
      <c r="O264"/>
      <c r="P264"/>
      <c r="Q264"/>
      <c r="R264"/>
      <c r="S264"/>
      <c r="T264"/>
      <c r="U264"/>
      <c r="V264"/>
    </row>
    <row r="265" spans="1:22" s="5" customFormat="1" x14ac:dyDescent="0.25">
      <c r="A265" s="2"/>
      <c r="B265" s="4"/>
      <c r="C265" s="2"/>
      <c r="D265" s="14"/>
      <c r="G265" s="38"/>
      <c r="H265" s="38"/>
      <c r="I265" s="38"/>
      <c r="J265" s="90"/>
      <c r="K265" s="90"/>
      <c r="L265" s="14"/>
      <c r="M265" s="2"/>
      <c r="N265" s="2"/>
      <c r="O265"/>
      <c r="P265"/>
      <c r="Q265"/>
      <c r="R265"/>
      <c r="S265"/>
      <c r="T265"/>
      <c r="U265"/>
      <c r="V265"/>
    </row>
    <row r="266" spans="1:22" s="5" customFormat="1" x14ac:dyDescent="0.25">
      <c r="A266" s="2"/>
      <c r="B266" s="4"/>
      <c r="C266" s="2"/>
      <c r="D266" s="14"/>
      <c r="G266" s="38"/>
      <c r="H266" s="38"/>
      <c r="I266" s="38"/>
      <c r="J266" s="90"/>
      <c r="K266" s="90"/>
      <c r="L266" s="14"/>
      <c r="M266" s="2"/>
      <c r="N266" s="2"/>
      <c r="O266"/>
      <c r="P266"/>
      <c r="Q266"/>
      <c r="R266"/>
      <c r="S266"/>
      <c r="T266"/>
      <c r="U266"/>
      <c r="V266"/>
    </row>
    <row r="267" spans="1:22" s="5" customFormat="1" x14ac:dyDescent="0.25">
      <c r="A267" s="2"/>
      <c r="B267" s="4"/>
      <c r="C267" s="2"/>
      <c r="D267" s="14"/>
      <c r="G267" s="38"/>
      <c r="H267" s="38"/>
      <c r="I267" s="38"/>
      <c r="J267" s="90"/>
      <c r="K267" s="90"/>
      <c r="L267" s="14"/>
      <c r="M267" s="2"/>
      <c r="N267" s="2"/>
      <c r="O267"/>
      <c r="P267"/>
      <c r="Q267"/>
      <c r="R267"/>
      <c r="S267"/>
      <c r="T267"/>
      <c r="U267"/>
      <c r="V267"/>
    </row>
    <row r="268" spans="1:22" s="5" customFormat="1" x14ac:dyDescent="0.25">
      <c r="A268" s="2"/>
      <c r="B268" s="4"/>
      <c r="C268" s="2"/>
      <c r="D268" s="14"/>
      <c r="G268" s="38"/>
      <c r="H268" s="38"/>
      <c r="I268" s="38"/>
      <c r="J268" s="90"/>
      <c r="K268" s="90"/>
      <c r="L268" s="14"/>
      <c r="M268" s="14"/>
      <c r="N268" s="2"/>
      <c r="O268"/>
      <c r="P268"/>
      <c r="Q268"/>
      <c r="R268"/>
      <c r="S268"/>
      <c r="T268"/>
      <c r="U268"/>
      <c r="V268"/>
    </row>
    <row r="269" spans="1:22" s="5" customFormat="1" x14ac:dyDescent="0.25">
      <c r="A269" s="2"/>
      <c r="B269" s="4"/>
      <c r="C269" s="2"/>
      <c r="D269" s="14"/>
      <c r="G269" s="38"/>
      <c r="H269" s="38"/>
      <c r="I269" s="38"/>
      <c r="J269" s="90"/>
      <c r="K269" s="90"/>
      <c r="L269" s="14"/>
      <c r="M269" s="2"/>
      <c r="N269" s="2"/>
      <c r="O269"/>
      <c r="P269"/>
      <c r="Q269"/>
      <c r="R269"/>
      <c r="S269"/>
      <c r="T269"/>
      <c r="U269"/>
      <c r="V269"/>
    </row>
    <row r="270" spans="1:22" s="5" customFormat="1" x14ac:dyDescent="0.25">
      <c r="A270" s="2"/>
      <c r="B270" s="4"/>
      <c r="C270" s="2"/>
      <c r="D270" s="14"/>
      <c r="G270" s="38"/>
      <c r="H270" s="38"/>
      <c r="I270" s="38"/>
      <c r="J270" s="90"/>
      <c r="K270" s="90"/>
      <c r="L270" s="14"/>
      <c r="M270" s="2"/>
      <c r="N270" s="2"/>
      <c r="O270"/>
      <c r="P270"/>
      <c r="Q270"/>
      <c r="R270"/>
      <c r="S270"/>
      <c r="T270"/>
      <c r="U270"/>
      <c r="V270"/>
    </row>
    <row r="271" spans="1:22" s="5" customFormat="1" x14ac:dyDescent="0.25">
      <c r="A271" s="2"/>
      <c r="B271" s="4"/>
      <c r="C271" s="2"/>
      <c r="D271" s="14"/>
      <c r="G271" s="38"/>
      <c r="H271" s="38"/>
      <c r="I271" s="38"/>
      <c r="J271" s="90"/>
      <c r="K271" s="90"/>
      <c r="L271" s="14"/>
      <c r="M271" s="2"/>
      <c r="N271" s="2"/>
      <c r="O271"/>
      <c r="P271"/>
      <c r="Q271"/>
      <c r="R271"/>
      <c r="S271"/>
      <c r="T271"/>
      <c r="U271"/>
      <c r="V271"/>
    </row>
    <row r="272" spans="1:22" s="5" customFormat="1" x14ac:dyDescent="0.25">
      <c r="A272" s="2"/>
      <c r="B272" s="4"/>
      <c r="C272" s="2"/>
      <c r="D272" s="14"/>
      <c r="G272" s="38"/>
      <c r="H272" s="38"/>
      <c r="I272" s="38"/>
      <c r="J272" s="90"/>
      <c r="K272" s="90"/>
      <c r="L272" s="14"/>
      <c r="M272" s="2"/>
      <c r="N272" s="2"/>
      <c r="O272"/>
      <c r="P272"/>
      <c r="Q272"/>
      <c r="R272"/>
      <c r="S272"/>
      <c r="T272"/>
      <c r="U272"/>
      <c r="V272"/>
    </row>
    <row r="273" spans="1:22" s="5" customFormat="1" x14ac:dyDescent="0.25">
      <c r="A273" s="2"/>
      <c r="B273" s="4"/>
      <c r="C273" s="2"/>
      <c r="D273" s="14"/>
      <c r="G273" s="38"/>
      <c r="H273" s="38"/>
      <c r="I273" s="38"/>
      <c r="J273" s="90"/>
      <c r="K273" s="90"/>
      <c r="L273" s="14"/>
      <c r="M273" s="2"/>
      <c r="N273" s="2"/>
      <c r="O273"/>
      <c r="P273"/>
      <c r="Q273"/>
      <c r="R273"/>
      <c r="S273"/>
      <c r="T273"/>
      <c r="U273"/>
      <c r="V273"/>
    </row>
    <row r="274" spans="1:22" s="5" customFormat="1" x14ac:dyDescent="0.25">
      <c r="A274" s="2"/>
      <c r="B274" s="4"/>
      <c r="C274" s="2"/>
      <c r="D274" s="14"/>
      <c r="G274" s="38"/>
      <c r="H274" s="38"/>
      <c r="I274" s="38"/>
      <c r="J274" s="90"/>
      <c r="K274" s="90"/>
      <c r="L274" s="14"/>
      <c r="M274" s="2"/>
      <c r="N274" s="2"/>
      <c r="O274"/>
      <c r="P274"/>
      <c r="Q274"/>
      <c r="R274"/>
      <c r="S274"/>
      <c r="T274"/>
      <c r="U274"/>
      <c r="V274"/>
    </row>
    <row r="275" spans="1:22" s="5" customFormat="1" x14ac:dyDescent="0.25">
      <c r="A275" s="2"/>
      <c r="B275" s="4"/>
      <c r="C275" s="2"/>
      <c r="D275" s="14"/>
      <c r="G275" s="38"/>
      <c r="H275" s="38"/>
      <c r="I275" s="38"/>
      <c r="J275" s="90"/>
      <c r="K275" s="90"/>
      <c r="L275" s="14"/>
      <c r="M275" s="2"/>
      <c r="N275" s="2"/>
      <c r="O275"/>
      <c r="P275"/>
      <c r="Q275"/>
      <c r="R275"/>
      <c r="S275"/>
      <c r="T275"/>
      <c r="U275"/>
      <c r="V275"/>
    </row>
    <row r="276" spans="1:22" s="5" customFormat="1" x14ac:dyDescent="0.25">
      <c r="A276" s="2"/>
      <c r="B276" s="4"/>
      <c r="C276" s="2"/>
      <c r="D276" s="14"/>
      <c r="G276" s="38"/>
      <c r="H276" s="38"/>
      <c r="I276" s="38"/>
      <c r="J276" s="90"/>
      <c r="K276" s="90"/>
      <c r="L276" s="14"/>
      <c r="M276" s="2"/>
      <c r="N276" s="2"/>
      <c r="O276"/>
      <c r="P276"/>
      <c r="Q276"/>
      <c r="R276"/>
      <c r="S276"/>
      <c r="T276"/>
      <c r="U276"/>
      <c r="V276"/>
    </row>
    <row r="277" spans="1:22" s="5" customFormat="1" x14ac:dyDescent="0.25">
      <c r="A277" s="2"/>
      <c r="B277" s="4"/>
      <c r="C277" s="2"/>
      <c r="D277" s="14"/>
      <c r="G277" s="38"/>
      <c r="H277" s="38"/>
      <c r="I277" s="38"/>
      <c r="J277" s="90"/>
      <c r="K277" s="90"/>
      <c r="L277" s="14"/>
      <c r="M277" s="2"/>
      <c r="N277" s="2"/>
      <c r="O277"/>
      <c r="P277"/>
      <c r="Q277"/>
      <c r="R277"/>
      <c r="S277"/>
      <c r="T277"/>
      <c r="U277"/>
      <c r="V277"/>
    </row>
    <row r="278" spans="1:22" s="5" customFormat="1" x14ac:dyDescent="0.25">
      <c r="A278" s="2"/>
      <c r="B278" s="4"/>
      <c r="C278" s="2"/>
      <c r="D278" s="14"/>
      <c r="G278" s="38"/>
      <c r="H278" s="38"/>
      <c r="I278" s="38"/>
      <c r="J278" s="90"/>
      <c r="K278" s="90"/>
      <c r="L278" s="14"/>
      <c r="M278" s="2"/>
      <c r="N278" s="2"/>
      <c r="O278"/>
      <c r="P278"/>
      <c r="Q278"/>
      <c r="R278"/>
      <c r="S278"/>
      <c r="T278"/>
      <c r="U278"/>
      <c r="V278"/>
    </row>
    <row r="279" spans="1:22" s="38" customFormat="1" x14ac:dyDescent="0.25">
      <c r="A279" s="18"/>
      <c r="B279" s="18"/>
      <c r="C279" s="2"/>
      <c r="D279" s="14"/>
      <c r="E279" s="14"/>
      <c r="F279" s="18"/>
      <c r="G279" s="88"/>
      <c r="H279" s="18"/>
      <c r="I279" s="18"/>
      <c r="J279" s="88"/>
      <c r="K279" s="88"/>
      <c r="L279" s="14"/>
      <c r="M279" s="14"/>
      <c r="N279" s="4"/>
      <c r="O279"/>
      <c r="P279"/>
      <c r="Q279"/>
      <c r="R279"/>
      <c r="S279"/>
      <c r="T279"/>
      <c r="U279"/>
      <c r="V279"/>
    </row>
    <row r="280" spans="1:22" s="38" customFormat="1" x14ac:dyDescent="0.25">
      <c r="A280" s="18"/>
      <c r="B280" s="18"/>
      <c r="C280" s="2"/>
      <c r="D280" s="14"/>
      <c r="E280" s="14"/>
      <c r="F280" s="18"/>
      <c r="G280" s="88"/>
      <c r="H280" s="88"/>
      <c r="I280" s="18"/>
      <c r="J280" s="88"/>
      <c r="K280" s="88"/>
      <c r="L280" s="14"/>
      <c r="M280" s="14"/>
      <c r="N280" s="4"/>
      <c r="O280"/>
      <c r="P280"/>
      <c r="Q280"/>
      <c r="R280"/>
      <c r="S280"/>
      <c r="T280"/>
      <c r="U280"/>
      <c r="V280"/>
    </row>
    <row r="281" spans="1:22" s="18" customFormat="1" x14ac:dyDescent="0.25">
      <c r="A281" s="14"/>
      <c r="B281" s="14"/>
      <c r="C281" s="14"/>
      <c r="D281" s="14"/>
      <c r="E281" s="14"/>
      <c r="F281" s="14"/>
      <c r="G281" s="52"/>
      <c r="H281" s="14"/>
      <c r="I281" s="14"/>
      <c r="J281" s="52"/>
      <c r="K281" s="88"/>
      <c r="L281" s="14"/>
      <c r="M281" s="14"/>
      <c r="N281" s="14"/>
      <c r="O281"/>
      <c r="P281"/>
      <c r="Q281"/>
      <c r="R281"/>
      <c r="S281"/>
      <c r="T281"/>
      <c r="U281"/>
      <c r="V281"/>
    </row>
    <row r="282" spans="1:22" s="18" customFormat="1" x14ac:dyDescent="0.25">
      <c r="A282" s="14"/>
      <c r="B282" s="14"/>
      <c r="C282" s="14"/>
      <c r="D282" s="14"/>
      <c r="E282" s="14"/>
      <c r="F282" s="14"/>
      <c r="G282" s="52"/>
      <c r="H282" s="14"/>
      <c r="I282" s="14"/>
      <c r="J282" s="52"/>
      <c r="K282" s="88"/>
      <c r="L282" s="14"/>
      <c r="M282" s="55"/>
      <c r="N282" s="14"/>
      <c r="O282"/>
      <c r="P282"/>
      <c r="Q282"/>
      <c r="R282"/>
      <c r="S282"/>
      <c r="T282"/>
      <c r="U282"/>
      <c r="V282"/>
    </row>
  </sheetData>
  <pageMargins left="0.7" right="0.7" top="0.75" bottom="0.75" header="0.3" footer="0.3"/>
  <pageSetup paperSize="9" scale="2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C3ED4-2403-4F7A-8071-D658FF4F1BF5}">
  <dimension ref="A1:W17"/>
  <sheetViews>
    <sheetView view="pageBreakPreview" zoomScaleNormal="100" zoomScaleSheetLayoutView="100" workbookViewId="0"/>
  </sheetViews>
  <sheetFormatPr defaultColWidth="9.140625" defaultRowHeight="15" x14ac:dyDescent="0.25"/>
  <cols>
    <col min="1" max="1" width="5.7109375" customWidth="1"/>
    <col min="2" max="2" width="7.140625" customWidth="1"/>
    <col min="3" max="3" width="6.140625" customWidth="1"/>
    <col min="4" max="4" width="22.85546875" customWidth="1"/>
    <col min="5" max="5" width="8.7109375" customWidth="1"/>
    <col min="6" max="6" width="13.28515625" customWidth="1"/>
    <col min="7" max="7" width="6.28515625" customWidth="1"/>
    <col min="8" max="8" width="6.85546875" customWidth="1"/>
    <col min="9" max="9" width="7.85546875" customWidth="1"/>
    <col min="10" max="10" width="8.28515625" customWidth="1"/>
    <col min="11" max="11" width="7.28515625" customWidth="1"/>
    <col min="12" max="12" width="27.28515625" customWidth="1"/>
    <col min="13" max="13" width="25.5703125" style="45" customWidth="1"/>
    <col min="14" max="14" width="17.42578125" customWidth="1"/>
    <col min="15" max="22" width="8.7109375" customWidth="1"/>
  </cols>
  <sheetData>
    <row r="1" spans="1:23" x14ac:dyDescent="0.25">
      <c r="A1" s="138" t="s">
        <v>1318</v>
      </c>
      <c r="B1" s="28"/>
      <c r="C1" s="18"/>
      <c r="D1" s="18"/>
      <c r="E1" s="18"/>
      <c r="F1" s="18"/>
      <c r="G1" s="18"/>
      <c r="H1" s="18"/>
      <c r="I1" s="18"/>
      <c r="J1" s="18"/>
      <c r="K1" s="18"/>
      <c r="L1" s="14"/>
      <c r="M1" s="14"/>
    </row>
    <row r="2" spans="1:23" x14ac:dyDescent="0.25">
      <c r="A2" s="23" t="s">
        <v>1228</v>
      </c>
      <c r="B2" s="23"/>
      <c r="C2" s="12"/>
      <c r="D2" s="1"/>
      <c r="E2" s="1"/>
      <c r="F2" s="1"/>
      <c r="G2" s="1"/>
      <c r="H2" s="1"/>
      <c r="I2" s="1"/>
      <c r="J2" s="1"/>
      <c r="K2" s="1"/>
      <c r="L2" s="1"/>
      <c r="M2" s="95"/>
    </row>
    <row r="3" spans="1:23" x14ac:dyDescent="0.25">
      <c r="A3" s="23" t="s">
        <v>1260</v>
      </c>
      <c r="B3" s="23"/>
      <c r="C3" s="1"/>
      <c r="D3" s="1"/>
      <c r="E3" s="1"/>
      <c r="F3" s="1"/>
      <c r="G3" s="1"/>
      <c r="H3" s="1"/>
      <c r="I3" s="1"/>
      <c r="J3" s="96"/>
      <c r="K3" s="1"/>
      <c r="L3" s="1"/>
      <c r="M3" s="1"/>
    </row>
    <row r="4" spans="1:23" ht="22.5" x14ac:dyDescent="0.25">
      <c r="A4" s="11" t="s">
        <v>0</v>
      </c>
      <c r="B4" s="11" t="s">
        <v>1</v>
      </c>
      <c r="C4" s="11" t="s">
        <v>2</v>
      </c>
      <c r="D4" s="11" t="s">
        <v>4</v>
      </c>
      <c r="E4" s="11" t="s">
        <v>5</v>
      </c>
      <c r="F4" s="11" t="s">
        <v>6</v>
      </c>
      <c r="G4" s="86" t="s">
        <v>7</v>
      </c>
      <c r="H4" s="86" t="s">
        <v>8</v>
      </c>
      <c r="I4" s="11" t="s">
        <v>9</v>
      </c>
      <c r="J4" s="12" t="s">
        <v>10</v>
      </c>
      <c r="K4" s="86" t="s">
        <v>53</v>
      </c>
      <c r="L4" s="86" t="s">
        <v>12</v>
      </c>
      <c r="M4" s="11" t="s">
        <v>13</v>
      </c>
    </row>
    <row r="6" spans="1:23" ht="45" x14ac:dyDescent="0.25">
      <c r="A6" s="26" t="s">
        <v>1229</v>
      </c>
      <c r="B6" s="26">
        <v>2.1</v>
      </c>
      <c r="C6" s="26" t="s">
        <v>240</v>
      </c>
      <c r="D6" s="14" t="s">
        <v>1230</v>
      </c>
      <c r="E6" s="14" t="s">
        <v>1231</v>
      </c>
      <c r="F6" s="97" t="s">
        <v>28</v>
      </c>
      <c r="G6" s="98">
        <v>4.9364497607655506</v>
      </c>
      <c r="H6" s="97" t="s">
        <v>1232</v>
      </c>
      <c r="I6" s="97">
        <v>1</v>
      </c>
      <c r="J6" s="97">
        <v>1</v>
      </c>
      <c r="K6" s="98">
        <f>(G6*I6)/J6</f>
        <v>4.9364497607655506</v>
      </c>
      <c r="L6" s="14" t="s">
        <v>1261</v>
      </c>
      <c r="M6" s="4" t="s">
        <v>1233</v>
      </c>
    </row>
    <row r="7" spans="1:23" ht="33.75" x14ac:dyDescent="0.25">
      <c r="A7" s="26" t="s">
        <v>1234</v>
      </c>
      <c r="B7" s="26">
        <v>11.1</v>
      </c>
      <c r="C7" s="26" t="s">
        <v>240</v>
      </c>
      <c r="D7" s="26" t="s">
        <v>1235</v>
      </c>
      <c r="E7" s="26"/>
      <c r="F7" s="26" t="s">
        <v>1236</v>
      </c>
      <c r="G7" s="98">
        <v>5.3439576547231269</v>
      </c>
      <c r="H7" s="26">
        <v>1</v>
      </c>
      <c r="I7" s="26">
        <v>1</v>
      </c>
      <c r="J7" s="27">
        <f>365/84</f>
        <v>4.3452380952380949</v>
      </c>
      <c r="K7" s="98">
        <f>(G7*I7)/J7</f>
        <v>1.229842309580117</v>
      </c>
      <c r="L7" s="26" t="s">
        <v>1262</v>
      </c>
      <c r="M7" s="26" t="s">
        <v>1237</v>
      </c>
    </row>
    <row r="8" spans="1:23" x14ac:dyDescent="0.25">
      <c r="A8" s="1"/>
      <c r="B8" s="1"/>
      <c r="C8" s="1"/>
      <c r="D8" s="1"/>
      <c r="E8" s="1"/>
      <c r="F8" s="1"/>
      <c r="G8" s="1"/>
      <c r="H8" s="1"/>
      <c r="I8" s="1"/>
      <c r="J8" s="17"/>
      <c r="K8" s="1"/>
      <c r="L8" s="17"/>
      <c r="M8" s="1"/>
    </row>
    <row r="9" spans="1:23" ht="17.45" customHeight="1" x14ac:dyDescent="0.25">
      <c r="A9" s="26"/>
      <c r="B9" s="26"/>
      <c r="C9" s="26"/>
      <c r="D9" s="90" t="s">
        <v>1281</v>
      </c>
      <c r="E9" s="52">
        <f>K6</f>
        <v>4.9364497607655506</v>
      </c>
      <c r="F9" s="97"/>
      <c r="G9" s="98"/>
      <c r="H9" s="97"/>
      <c r="I9" s="97"/>
      <c r="J9" s="97"/>
      <c r="K9" s="98"/>
      <c r="L9" s="14"/>
      <c r="M9" s="4"/>
      <c r="N9" s="2"/>
    </row>
    <row r="10" spans="1:23" x14ac:dyDescent="0.25">
      <c r="A10" s="26"/>
      <c r="B10" s="26"/>
      <c r="C10" s="26"/>
      <c r="D10" s="90" t="s">
        <v>1282</v>
      </c>
      <c r="E10" s="27">
        <f>K7</f>
        <v>1.229842309580117</v>
      </c>
      <c r="F10" s="26"/>
      <c r="G10" s="26"/>
      <c r="H10" s="26"/>
      <c r="I10" s="26"/>
      <c r="J10" s="27"/>
      <c r="K10" s="98"/>
      <c r="L10" s="26"/>
      <c r="M10" s="26"/>
    </row>
    <row r="11" spans="1:23" x14ac:dyDescent="0.25">
      <c r="A11" s="12"/>
      <c r="B11" s="12"/>
      <c r="C11" s="12"/>
      <c r="D11" s="12"/>
      <c r="E11" s="1"/>
      <c r="F11" s="1"/>
      <c r="G11" s="1"/>
      <c r="H11" s="1"/>
      <c r="I11" s="1"/>
      <c r="J11" s="17"/>
      <c r="K11" s="1"/>
      <c r="L11" s="17"/>
      <c r="M11" s="1"/>
    </row>
    <row r="12" spans="1:23" s="5" customFormat="1" ht="69.95" customHeight="1" x14ac:dyDescent="0.25">
      <c r="A12" s="2"/>
      <c r="B12" s="4"/>
      <c r="C12" s="2"/>
      <c r="D12" s="14"/>
      <c r="G12" s="38"/>
      <c r="H12" s="38"/>
      <c r="I12" s="38"/>
      <c r="J12" s="38"/>
      <c r="K12" s="90"/>
      <c r="L12" s="14"/>
      <c r="M12" s="4"/>
      <c r="N12" s="2"/>
      <c r="O12"/>
      <c r="P12"/>
      <c r="Q12"/>
      <c r="R12"/>
      <c r="S12"/>
      <c r="T12"/>
      <c r="U12"/>
      <c r="V12"/>
      <c r="W12"/>
    </row>
    <row r="13" spans="1:23" x14ac:dyDescent="0.25">
      <c r="A13" s="26"/>
      <c r="B13" s="26"/>
      <c r="C13" s="2"/>
      <c r="D13" s="26"/>
      <c r="E13" s="26"/>
      <c r="F13" s="26"/>
      <c r="G13" s="26"/>
      <c r="H13" s="26"/>
      <c r="I13" s="26"/>
      <c r="J13" s="27"/>
      <c r="K13" s="98"/>
      <c r="L13" s="26"/>
      <c r="M13" s="26"/>
    </row>
    <row r="14" spans="1:23" x14ac:dyDescent="0.25">
      <c r="A14" s="12"/>
      <c r="B14" s="12"/>
      <c r="C14" s="1"/>
      <c r="D14" s="12"/>
      <c r="E14" s="13"/>
      <c r="F14" s="1"/>
      <c r="G14" s="1"/>
      <c r="H14" s="1"/>
      <c r="I14" s="17"/>
      <c r="J14" s="1"/>
      <c r="K14" s="1"/>
      <c r="L14" s="17"/>
      <c r="M14" s="1"/>
    </row>
    <row r="15" spans="1:23" x14ac:dyDescent="0.25">
      <c r="A15" s="12"/>
      <c r="B15" s="12"/>
      <c r="C15" s="1"/>
      <c r="D15" s="12"/>
      <c r="E15" s="13"/>
      <c r="F15" s="1"/>
      <c r="G15" s="1"/>
      <c r="H15" s="1"/>
      <c r="I15" s="17"/>
      <c r="J15" s="1"/>
      <c r="K15" s="1"/>
      <c r="L15" s="17"/>
      <c r="M15" s="1"/>
    </row>
    <row r="16" spans="1:23" x14ac:dyDescent="0.25">
      <c r="A16" s="12"/>
      <c r="B16" s="12"/>
      <c r="C16" s="1"/>
      <c r="D16" s="12"/>
      <c r="E16" s="12"/>
      <c r="F16" s="1"/>
      <c r="G16" s="1"/>
      <c r="H16" s="1"/>
      <c r="I16" s="1"/>
      <c r="J16" s="1"/>
      <c r="K16" s="1"/>
      <c r="L16" s="17"/>
      <c r="M16" s="1"/>
    </row>
    <row r="17" spans="1:13" x14ac:dyDescent="0.25">
      <c r="A17" s="12"/>
      <c r="B17" s="12"/>
      <c r="C17" s="1"/>
      <c r="D17" s="12"/>
      <c r="E17" s="13"/>
      <c r="F17" s="1"/>
      <c r="G17" s="1"/>
      <c r="H17" s="1"/>
      <c r="I17" s="1"/>
      <c r="J17" s="1"/>
      <c r="K17" s="1"/>
      <c r="L17" s="17"/>
      <c r="M17" s="1"/>
    </row>
  </sheetData>
  <pageMargins left="0.7" right="0.7" top="0.75" bottom="0.75" header="0.3" footer="0.3"/>
  <pageSetup paperSize="9" scale="8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866F32-03EE-4D37-8CF0-ED35E9E5BE60}">
  <dimension ref="A1:X79"/>
  <sheetViews>
    <sheetView view="pageBreakPreview" zoomScaleNormal="115" zoomScaleSheetLayoutView="100" workbookViewId="0"/>
  </sheetViews>
  <sheetFormatPr defaultColWidth="9.140625" defaultRowHeight="15" x14ac:dyDescent="0.25"/>
  <cols>
    <col min="1" max="1" width="5.7109375" style="1" customWidth="1"/>
    <col min="2" max="2" width="7" style="1" customWidth="1"/>
    <col min="3" max="3" width="6.42578125" style="1" customWidth="1"/>
    <col min="4" max="4" width="11" style="1" customWidth="1"/>
    <col min="5" max="5" width="18.5703125" style="1" customWidth="1"/>
    <col min="6" max="6" width="10.28515625" style="1" customWidth="1"/>
    <col min="7" max="7" width="6.7109375" style="1" customWidth="1"/>
    <col min="8" max="8" width="5.85546875" style="1" customWidth="1"/>
    <col min="9" max="9" width="7.28515625" style="1" customWidth="1"/>
    <col min="10" max="10" width="10.85546875" style="1" customWidth="1"/>
    <col min="11" max="11" width="6.42578125" style="1" customWidth="1"/>
    <col min="12" max="13" width="32.85546875" style="1" customWidth="1"/>
    <col min="14" max="14" width="34.5703125" style="1" customWidth="1"/>
    <col min="23" max="16384" width="9.140625" style="1"/>
  </cols>
  <sheetData>
    <row r="1" spans="1:24" s="24" customFormat="1" x14ac:dyDescent="0.25">
      <c r="A1" s="138" t="s">
        <v>1318</v>
      </c>
      <c r="B1" s="23"/>
      <c r="E1" s="1"/>
      <c r="O1"/>
      <c r="P1"/>
      <c r="Q1"/>
      <c r="R1"/>
      <c r="S1"/>
      <c r="T1"/>
      <c r="U1"/>
      <c r="V1"/>
      <c r="W1"/>
      <c r="X1"/>
    </row>
    <row r="2" spans="1:24" s="24" customFormat="1" x14ac:dyDescent="0.25">
      <c r="A2" s="23" t="s">
        <v>52</v>
      </c>
      <c r="B2" s="23"/>
      <c r="E2" s="1"/>
      <c r="O2"/>
      <c r="P2"/>
      <c r="Q2"/>
      <c r="R2"/>
      <c r="S2"/>
      <c r="T2"/>
      <c r="U2"/>
      <c r="V2"/>
      <c r="W2"/>
      <c r="X2"/>
    </row>
    <row r="3" spans="1:24" s="24" customFormat="1" x14ac:dyDescent="0.25">
      <c r="A3" s="23" t="s">
        <v>1260</v>
      </c>
      <c r="B3" s="23"/>
      <c r="E3" s="1"/>
      <c r="O3"/>
      <c r="P3"/>
      <c r="Q3"/>
      <c r="R3"/>
      <c r="S3"/>
      <c r="T3"/>
      <c r="U3"/>
      <c r="V3"/>
      <c r="W3"/>
      <c r="X3"/>
    </row>
    <row r="4" spans="1:24" s="10" customFormat="1" ht="33.75" x14ac:dyDescent="0.25">
      <c r="A4" s="10" t="s">
        <v>0</v>
      </c>
      <c r="B4" s="10" t="s">
        <v>1</v>
      </c>
      <c r="C4" s="10" t="s">
        <v>2</v>
      </c>
      <c r="D4" s="10" t="s">
        <v>3</v>
      </c>
      <c r="E4" s="10" t="s">
        <v>4</v>
      </c>
      <c r="F4" s="10" t="s">
        <v>6</v>
      </c>
      <c r="G4" s="25" t="s">
        <v>7</v>
      </c>
      <c r="H4" s="25" t="s">
        <v>8</v>
      </c>
      <c r="I4" s="10" t="s">
        <v>9</v>
      </c>
      <c r="J4" s="10" t="s">
        <v>10</v>
      </c>
      <c r="K4" s="25" t="s">
        <v>53</v>
      </c>
      <c r="L4" s="25" t="s">
        <v>54</v>
      </c>
      <c r="M4" s="25" t="s">
        <v>13</v>
      </c>
      <c r="N4" s="99"/>
      <c r="O4"/>
      <c r="P4"/>
      <c r="Q4"/>
      <c r="R4"/>
      <c r="S4"/>
      <c r="T4"/>
      <c r="U4"/>
      <c r="V4"/>
      <c r="W4"/>
      <c r="X4"/>
    </row>
    <row r="5" spans="1:24" s="65" customFormat="1" ht="33.75" x14ac:dyDescent="0.25">
      <c r="A5" s="26" t="s">
        <v>55</v>
      </c>
      <c r="B5" s="26">
        <v>3.1</v>
      </c>
      <c r="C5" s="1" t="s">
        <v>240</v>
      </c>
      <c r="D5" s="26" t="s">
        <v>84</v>
      </c>
      <c r="E5" s="26" t="s">
        <v>56</v>
      </c>
      <c r="F5" s="27" t="s">
        <v>85</v>
      </c>
      <c r="G5" s="155">
        <v>8.8968000000000007</v>
      </c>
      <c r="H5" s="156">
        <v>7</v>
      </c>
      <c r="I5" s="156">
        <v>2</v>
      </c>
      <c r="J5" s="158">
        <f>365/7</f>
        <v>52.142857142857146</v>
      </c>
      <c r="K5" s="155">
        <f t="shared" ref="K5:K47" si="0">G5*I5/J5</f>
        <v>0.34124712328767126</v>
      </c>
      <c r="L5" s="26" t="s">
        <v>1242</v>
      </c>
      <c r="M5" s="19" t="s">
        <v>86</v>
      </c>
      <c r="N5" s="100"/>
      <c r="O5"/>
      <c r="P5"/>
      <c r="Q5"/>
      <c r="R5"/>
      <c r="S5"/>
      <c r="T5"/>
      <c r="U5"/>
      <c r="V5"/>
      <c r="W5"/>
      <c r="X5"/>
    </row>
    <row r="6" spans="1:24" s="65" customFormat="1" ht="26.25" customHeight="1" x14ac:dyDescent="0.25">
      <c r="A6" s="26" t="s">
        <v>55</v>
      </c>
      <c r="B6" s="26">
        <v>3.1</v>
      </c>
      <c r="C6" s="1" t="s">
        <v>240</v>
      </c>
      <c r="D6" s="26" t="s">
        <v>84</v>
      </c>
      <c r="E6" s="26" t="s">
        <v>57</v>
      </c>
      <c r="F6" s="27" t="s">
        <v>85</v>
      </c>
      <c r="G6" s="155">
        <v>17.793600000000001</v>
      </c>
      <c r="H6" s="156">
        <v>1</v>
      </c>
      <c r="I6" s="156">
        <v>4</v>
      </c>
      <c r="J6" s="158">
        <f>365/7</f>
        <v>52.142857142857146</v>
      </c>
      <c r="K6" s="155">
        <f t="shared" si="0"/>
        <v>1.364988493150685</v>
      </c>
      <c r="L6" s="26" t="s">
        <v>1243</v>
      </c>
      <c r="M6" s="1" t="s">
        <v>87</v>
      </c>
      <c r="N6" s="26"/>
      <c r="O6"/>
      <c r="P6"/>
      <c r="Q6"/>
      <c r="R6"/>
      <c r="S6"/>
      <c r="T6"/>
      <c r="U6"/>
      <c r="V6"/>
      <c r="W6"/>
      <c r="X6"/>
    </row>
    <row r="7" spans="1:24" s="65" customFormat="1" ht="33.75" x14ac:dyDescent="0.25">
      <c r="A7" s="26" t="s">
        <v>55</v>
      </c>
      <c r="B7" s="26">
        <v>3.1</v>
      </c>
      <c r="C7" s="1" t="s">
        <v>240</v>
      </c>
      <c r="D7" s="26" t="s">
        <v>84</v>
      </c>
      <c r="E7" s="26" t="s">
        <v>61</v>
      </c>
      <c r="F7" s="27" t="s">
        <v>75</v>
      </c>
      <c r="G7" s="155">
        <v>7.7847000000000008</v>
      </c>
      <c r="H7" s="156">
        <v>7</v>
      </c>
      <c r="I7" s="156">
        <v>1</v>
      </c>
      <c r="J7" s="158">
        <f>365/7</f>
        <v>52.142857142857146</v>
      </c>
      <c r="K7" s="155">
        <f t="shared" si="0"/>
        <v>0.14929561643835618</v>
      </c>
      <c r="L7" s="26" t="s">
        <v>1244</v>
      </c>
      <c r="M7" s="1" t="s">
        <v>88</v>
      </c>
      <c r="N7" s="26"/>
      <c r="O7"/>
      <c r="P7"/>
      <c r="Q7"/>
      <c r="R7"/>
      <c r="S7"/>
      <c r="T7"/>
      <c r="U7"/>
      <c r="V7"/>
      <c r="W7"/>
      <c r="X7"/>
    </row>
    <row r="8" spans="1:24" s="65" customFormat="1" ht="26.25" customHeight="1" x14ac:dyDescent="0.25">
      <c r="A8" s="26" t="s">
        <v>55</v>
      </c>
      <c r="B8" s="26">
        <v>3.1</v>
      </c>
      <c r="C8" s="1" t="s">
        <v>240</v>
      </c>
      <c r="D8" s="26" t="s">
        <v>84</v>
      </c>
      <c r="E8" s="26" t="s">
        <v>89</v>
      </c>
      <c r="F8" s="27" t="s">
        <v>77</v>
      </c>
      <c r="G8" s="155">
        <v>14.446179000000001</v>
      </c>
      <c r="H8" s="156">
        <v>2</v>
      </c>
      <c r="I8" s="156">
        <v>2</v>
      </c>
      <c r="J8" s="158">
        <f>365/7</f>
        <v>52.142857142857146</v>
      </c>
      <c r="K8" s="155">
        <f t="shared" si="0"/>
        <v>0.55410001643835616</v>
      </c>
      <c r="L8" s="26" t="s">
        <v>1245</v>
      </c>
      <c r="M8" s="1" t="s">
        <v>90</v>
      </c>
      <c r="N8" s="101"/>
      <c r="O8"/>
      <c r="P8"/>
      <c r="Q8"/>
      <c r="R8"/>
      <c r="S8"/>
      <c r="T8"/>
      <c r="U8"/>
      <c r="V8"/>
      <c r="W8"/>
      <c r="X8"/>
    </row>
    <row r="9" spans="1:24" s="65" customFormat="1" ht="25.5" customHeight="1" x14ac:dyDescent="0.25">
      <c r="A9" s="26" t="s">
        <v>55</v>
      </c>
      <c r="B9" s="26">
        <v>3.1</v>
      </c>
      <c r="C9" s="1" t="s">
        <v>240</v>
      </c>
      <c r="D9" s="26" t="s">
        <v>84</v>
      </c>
      <c r="E9" s="26" t="s">
        <v>91</v>
      </c>
      <c r="F9" s="27" t="s">
        <v>75</v>
      </c>
      <c r="G9" s="155">
        <v>3.8923500000000004</v>
      </c>
      <c r="H9" s="156">
        <v>5</v>
      </c>
      <c r="I9" s="156">
        <v>2</v>
      </c>
      <c r="J9" s="158">
        <f>365/7</f>
        <v>52.142857142857146</v>
      </c>
      <c r="K9" s="155">
        <f t="shared" si="0"/>
        <v>0.14929561643835618</v>
      </c>
      <c r="L9" s="26" t="s">
        <v>1246</v>
      </c>
      <c r="M9" s="1" t="s">
        <v>92</v>
      </c>
      <c r="N9" s="101"/>
      <c r="O9"/>
      <c r="P9"/>
      <c r="Q9"/>
      <c r="R9"/>
      <c r="S9"/>
      <c r="T9"/>
      <c r="U9"/>
      <c r="V9"/>
      <c r="W9"/>
      <c r="X9"/>
    </row>
    <row r="10" spans="1:24" s="65" customFormat="1" ht="22.5" x14ac:dyDescent="0.25">
      <c r="A10" s="26" t="s">
        <v>55</v>
      </c>
      <c r="B10" s="26">
        <v>3.1</v>
      </c>
      <c r="C10" s="1" t="s">
        <v>240</v>
      </c>
      <c r="D10" s="26" t="s">
        <v>84</v>
      </c>
      <c r="E10" s="26" t="s">
        <v>93</v>
      </c>
      <c r="F10" s="27" t="s">
        <v>75</v>
      </c>
      <c r="G10" s="155">
        <v>8.8968000000000007</v>
      </c>
      <c r="H10" s="156">
        <v>1</v>
      </c>
      <c r="I10" s="156">
        <v>2</v>
      </c>
      <c r="J10" s="158">
        <f>365/7*20</f>
        <v>1042.8571428571429</v>
      </c>
      <c r="K10" s="155">
        <f t="shared" si="0"/>
        <v>1.7062356164383563E-2</v>
      </c>
      <c r="L10" s="26" t="s">
        <v>94</v>
      </c>
      <c r="M10" s="102" t="s">
        <v>95</v>
      </c>
      <c r="N10" s="26"/>
      <c r="O10"/>
      <c r="P10"/>
      <c r="Q10"/>
      <c r="R10"/>
      <c r="S10"/>
      <c r="T10"/>
      <c r="U10"/>
      <c r="V10"/>
      <c r="W10"/>
      <c r="X10"/>
    </row>
    <row r="11" spans="1:24" s="65" customFormat="1" x14ac:dyDescent="0.25">
      <c r="A11" s="26" t="s">
        <v>55</v>
      </c>
      <c r="B11" s="26">
        <v>3.1</v>
      </c>
      <c r="C11" s="1" t="s">
        <v>240</v>
      </c>
      <c r="D11" s="26" t="s">
        <v>96</v>
      </c>
      <c r="E11" s="26" t="s">
        <v>97</v>
      </c>
      <c r="F11" s="27" t="s">
        <v>75</v>
      </c>
      <c r="G11" s="155">
        <v>7.2286500000000009</v>
      </c>
      <c r="H11" s="156">
        <v>3</v>
      </c>
      <c r="I11" s="156">
        <v>2</v>
      </c>
      <c r="J11" s="158">
        <f>365/7*5</f>
        <v>260.71428571428572</v>
      </c>
      <c r="K11" s="155">
        <f t="shared" si="0"/>
        <v>5.545265753424658E-2</v>
      </c>
      <c r="L11" s="26" t="s">
        <v>98</v>
      </c>
      <c r="M11" s="1" t="s">
        <v>99</v>
      </c>
      <c r="N11" s="26"/>
      <c r="O11"/>
      <c r="P11"/>
      <c r="Q11"/>
      <c r="R11"/>
      <c r="S11"/>
      <c r="T11"/>
      <c r="U11"/>
      <c r="V11"/>
    </row>
    <row r="12" spans="1:24" s="65" customFormat="1" ht="22.5" x14ac:dyDescent="0.25">
      <c r="A12" s="26" t="s">
        <v>55</v>
      </c>
      <c r="B12" s="26">
        <v>3.1</v>
      </c>
      <c r="C12" s="1" t="s">
        <v>240</v>
      </c>
      <c r="D12" s="26" t="s">
        <v>96</v>
      </c>
      <c r="E12" s="26" t="s">
        <v>100</v>
      </c>
      <c r="F12" s="27" t="s">
        <v>75</v>
      </c>
      <c r="G12" s="155">
        <v>7.7847000000000008</v>
      </c>
      <c r="H12" s="156">
        <v>1</v>
      </c>
      <c r="I12" s="156">
        <v>2</v>
      </c>
      <c r="J12" s="158">
        <f>365/7*5</f>
        <v>260.71428571428572</v>
      </c>
      <c r="K12" s="155">
        <f t="shared" si="0"/>
        <v>5.9718246575342471E-2</v>
      </c>
      <c r="L12" s="26" t="s">
        <v>101</v>
      </c>
      <c r="M12" s="1" t="s">
        <v>59</v>
      </c>
      <c r="N12" s="1"/>
      <c r="O12"/>
      <c r="P12"/>
      <c r="Q12"/>
      <c r="R12"/>
      <c r="S12"/>
      <c r="T12" s="80"/>
      <c r="U12" s="80"/>
      <c r="V12" s="80"/>
    </row>
    <row r="13" spans="1:24" s="65" customFormat="1" ht="22.5" x14ac:dyDescent="0.25">
      <c r="A13" s="26" t="s">
        <v>55</v>
      </c>
      <c r="B13" s="26">
        <v>3.1</v>
      </c>
      <c r="C13" s="1" t="s">
        <v>240</v>
      </c>
      <c r="D13" s="26" t="s">
        <v>96</v>
      </c>
      <c r="E13" s="26" t="s">
        <v>102</v>
      </c>
      <c r="F13" s="27" t="s">
        <v>75</v>
      </c>
      <c r="G13" s="155">
        <v>7.7847000000000008</v>
      </c>
      <c r="H13" s="156">
        <v>1</v>
      </c>
      <c r="I13" s="156">
        <v>2</v>
      </c>
      <c r="J13" s="158">
        <f>365/7*5</f>
        <v>260.71428571428572</v>
      </c>
      <c r="K13" s="155">
        <f t="shared" si="0"/>
        <v>5.9718246575342471E-2</v>
      </c>
      <c r="L13" s="26" t="s">
        <v>101</v>
      </c>
      <c r="M13" s="1" t="s">
        <v>60</v>
      </c>
      <c r="N13" s="1"/>
      <c r="O13"/>
      <c r="P13"/>
      <c r="Q13"/>
      <c r="R13"/>
      <c r="S13"/>
      <c r="T13" s="67"/>
      <c r="U13" s="67"/>
      <c r="V13" s="67"/>
    </row>
    <row r="14" spans="1:24" s="65" customFormat="1" ht="22.5" x14ac:dyDescent="0.25">
      <c r="A14" s="26" t="s">
        <v>55</v>
      </c>
      <c r="B14" s="26">
        <v>3.1</v>
      </c>
      <c r="C14" s="1" t="s">
        <v>240</v>
      </c>
      <c r="D14" s="26" t="s">
        <v>96</v>
      </c>
      <c r="E14" s="26" t="s">
        <v>64</v>
      </c>
      <c r="F14" s="27" t="s">
        <v>75</v>
      </c>
      <c r="G14" s="155">
        <v>7.2286500000000009</v>
      </c>
      <c r="H14" s="157">
        <v>2</v>
      </c>
      <c r="I14" s="156">
        <v>2</v>
      </c>
      <c r="J14" s="158">
        <f>365/7</f>
        <v>52.142857142857146</v>
      </c>
      <c r="K14" s="155">
        <f t="shared" si="0"/>
        <v>0.27726328767123287</v>
      </c>
      <c r="L14" s="26" t="s">
        <v>103</v>
      </c>
      <c r="M14" s="1" t="s">
        <v>104</v>
      </c>
      <c r="N14" s="26"/>
      <c r="O14"/>
      <c r="P14"/>
      <c r="Q14"/>
      <c r="R14"/>
      <c r="S14"/>
      <c r="T14" s="81"/>
      <c r="U14" s="81"/>
      <c r="V14" s="81"/>
    </row>
    <row r="15" spans="1:24" s="65" customFormat="1" x14ac:dyDescent="0.25">
      <c r="A15" s="26" t="s">
        <v>55</v>
      </c>
      <c r="B15" s="26">
        <v>3.1</v>
      </c>
      <c r="C15" s="1" t="s">
        <v>240</v>
      </c>
      <c r="D15" s="26" t="s">
        <v>96</v>
      </c>
      <c r="E15" s="26" t="s">
        <v>63</v>
      </c>
      <c r="F15" s="27" t="s">
        <v>75</v>
      </c>
      <c r="G15" s="155">
        <v>9.4528500000000015</v>
      </c>
      <c r="H15" s="157">
        <v>2</v>
      </c>
      <c r="I15" s="156">
        <v>1</v>
      </c>
      <c r="J15" s="158">
        <f>365/7</f>
        <v>52.142857142857146</v>
      </c>
      <c r="K15" s="155">
        <f t="shared" si="0"/>
        <v>0.18128753424657537</v>
      </c>
      <c r="L15" s="26" t="s">
        <v>105</v>
      </c>
      <c r="M15" s="1" t="s">
        <v>106</v>
      </c>
      <c r="N15" s="26"/>
      <c r="O15"/>
      <c r="P15"/>
      <c r="Q15"/>
      <c r="R15"/>
      <c r="S15"/>
      <c r="T15"/>
      <c r="U15"/>
      <c r="V15"/>
    </row>
    <row r="16" spans="1:24" s="65" customFormat="1" x14ac:dyDescent="0.25">
      <c r="A16" s="26" t="s">
        <v>55</v>
      </c>
      <c r="B16" s="26">
        <v>3.1</v>
      </c>
      <c r="C16" s="1" t="s">
        <v>240</v>
      </c>
      <c r="D16" s="26" t="s">
        <v>96</v>
      </c>
      <c r="E16" s="26" t="s">
        <v>107</v>
      </c>
      <c r="F16" s="27" t="s">
        <v>68</v>
      </c>
      <c r="G16" s="155">
        <v>20.017800000000001</v>
      </c>
      <c r="H16" s="157">
        <v>1</v>
      </c>
      <c r="I16" s="156">
        <v>2</v>
      </c>
      <c r="J16" s="158">
        <f>365/7*4</f>
        <v>208.57142857142858</v>
      </c>
      <c r="K16" s="155">
        <f t="shared" si="0"/>
        <v>0.19195150684931506</v>
      </c>
      <c r="L16" s="26" t="s">
        <v>108</v>
      </c>
      <c r="M16" s="1" t="s">
        <v>109</v>
      </c>
      <c r="N16" s="26"/>
      <c r="O16"/>
      <c r="P16"/>
      <c r="Q16"/>
      <c r="R16"/>
      <c r="S16"/>
      <c r="T16"/>
      <c r="U16"/>
      <c r="V16"/>
    </row>
    <row r="17" spans="1:22" s="65" customFormat="1" ht="22.5" x14ac:dyDescent="0.25">
      <c r="A17" s="26" t="s">
        <v>55</v>
      </c>
      <c r="B17" s="26">
        <v>3.1</v>
      </c>
      <c r="C17" s="1" t="s">
        <v>240</v>
      </c>
      <c r="D17" s="26" t="s">
        <v>96</v>
      </c>
      <c r="E17" s="26" t="s">
        <v>65</v>
      </c>
      <c r="F17" s="27" t="s">
        <v>68</v>
      </c>
      <c r="G17" s="155">
        <v>27.802500000000002</v>
      </c>
      <c r="H17" s="156">
        <v>1</v>
      </c>
      <c r="I17" s="156">
        <v>1</v>
      </c>
      <c r="J17" s="158">
        <f>365/7*5</f>
        <v>260.71428571428572</v>
      </c>
      <c r="K17" s="155">
        <f t="shared" si="0"/>
        <v>0.10663972602739727</v>
      </c>
      <c r="L17" s="26" t="s">
        <v>110</v>
      </c>
      <c r="M17" s="1" t="s">
        <v>111</v>
      </c>
      <c r="N17" s="26"/>
      <c r="O17"/>
      <c r="P17"/>
      <c r="Q17"/>
      <c r="R17"/>
      <c r="S17"/>
      <c r="T17"/>
      <c r="U17"/>
      <c r="V17"/>
    </row>
    <row r="18" spans="1:22" s="65" customFormat="1" ht="22.5" x14ac:dyDescent="0.25">
      <c r="A18" s="26" t="s">
        <v>55</v>
      </c>
      <c r="B18" s="26">
        <v>3.1</v>
      </c>
      <c r="C18" s="1" t="s">
        <v>240</v>
      </c>
      <c r="D18" s="26" t="s">
        <v>96</v>
      </c>
      <c r="E18" s="26" t="s">
        <v>81</v>
      </c>
      <c r="F18" s="27" t="s">
        <v>68</v>
      </c>
      <c r="G18" s="155">
        <v>17.793600000000001</v>
      </c>
      <c r="H18" s="156">
        <v>1</v>
      </c>
      <c r="I18" s="156">
        <v>1</v>
      </c>
      <c r="J18" s="158">
        <f>365/7*5</f>
        <v>260.71428571428572</v>
      </c>
      <c r="K18" s="155">
        <f t="shared" si="0"/>
        <v>6.8249424657534252E-2</v>
      </c>
      <c r="L18" s="26" t="s">
        <v>112</v>
      </c>
      <c r="M18" s="102" t="s">
        <v>113</v>
      </c>
      <c r="N18" s="26"/>
      <c r="O18"/>
      <c r="P18"/>
      <c r="Q18"/>
      <c r="R18"/>
      <c r="S18"/>
      <c r="T18"/>
      <c r="U18"/>
      <c r="V18"/>
    </row>
    <row r="19" spans="1:22" s="65" customFormat="1" ht="22.5" x14ac:dyDescent="0.25">
      <c r="A19" s="26" t="s">
        <v>55</v>
      </c>
      <c r="B19" s="26">
        <v>3.1</v>
      </c>
      <c r="C19" s="1" t="s">
        <v>240</v>
      </c>
      <c r="D19" s="26" t="s">
        <v>96</v>
      </c>
      <c r="E19" s="26" t="s">
        <v>114</v>
      </c>
      <c r="F19" s="27" t="s">
        <v>68</v>
      </c>
      <c r="G19" s="155">
        <v>20.017800000000001</v>
      </c>
      <c r="H19" s="156">
        <v>1</v>
      </c>
      <c r="I19" s="156">
        <v>1</v>
      </c>
      <c r="J19" s="158">
        <f>365/7*5</f>
        <v>260.71428571428572</v>
      </c>
      <c r="K19" s="155">
        <f t="shared" si="0"/>
        <v>7.6780602739726034E-2</v>
      </c>
      <c r="L19" s="26" t="s">
        <v>115</v>
      </c>
      <c r="M19" s="1" t="s">
        <v>116</v>
      </c>
      <c r="N19" s="26"/>
      <c r="O19"/>
      <c r="P19"/>
      <c r="Q19"/>
      <c r="R19"/>
      <c r="S19"/>
      <c r="T19"/>
      <c r="U19"/>
      <c r="V19"/>
    </row>
    <row r="20" spans="1:22" s="65" customFormat="1" ht="22.5" x14ac:dyDescent="0.25">
      <c r="A20" s="26" t="s">
        <v>55</v>
      </c>
      <c r="B20" s="26">
        <v>3.1</v>
      </c>
      <c r="C20" s="1" t="s">
        <v>240</v>
      </c>
      <c r="D20" s="26" t="s">
        <v>96</v>
      </c>
      <c r="E20" s="26" t="s">
        <v>117</v>
      </c>
      <c r="F20" s="27" t="s">
        <v>75</v>
      </c>
      <c r="G20" s="155">
        <v>7.7847000000000008</v>
      </c>
      <c r="H20" s="156">
        <v>1</v>
      </c>
      <c r="I20" s="156">
        <v>2</v>
      </c>
      <c r="J20" s="158">
        <f>365/7</f>
        <v>52.142857142857146</v>
      </c>
      <c r="K20" s="155">
        <f t="shared" si="0"/>
        <v>0.29859123287671235</v>
      </c>
      <c r="L20" s="26" t="s">
        <v>118</v>
      </c>
      <c r="M20" s="1" t="s">
        <v>119</v>
      </c>
      <c r="N20" s="100"/>
      <c r="O20"/>
      <c r="P20"/>
      <c r="Q20"/>
      <c r="R20"/>
      <c r="S20"/>
      <c r="T20"/>
      <c r="U20"/>
      <c r="V20"/>
    </row>
    <row r="21" spans="1:22" s="65" customFormat="1" ht="22.5" x14ac:dyDescent="0.25">
      <c r="A21" s="26" t="s">
        <v>55</v>
      </c>
      <c r="B21" s="26">
        <v>3.1</v>
      </c>
      <c r="C21" s="1" t="s">
        <v>240</v>
      </c>
      <c r="D21" s="26" t="s">
        <v>96</v>
      </c>
      <c r="E21" s="26" t="s">
        <v>71</v>
      </c>
      <c r="F21" s="27" t="s">
        <v>75</v>
      </c>
      <c r="G21" s="155">
        <v>6.672600000000001</v>
      </c>
      <c r="H21" s="156">
        <v>1</v>
      </c>
      <c r="I21" s="156">
        <v>1</v>
      </c>
      <c r="J21" s="158">
        <f>365/7</f>
        <v>52.142857142857146</v>
      </c>
      <c r="K21" s="155">
        <f t="shared" si="0"/>
        <v>0.12796767123287672</v>
      </c>
      <c r="L21" s="26" t="s">
        <v>120</v>
      </c>
      <c r="M21" s="1" t="s">
        <v>121</v>
      </c>
      <c r="N21" s="100"/>
      <c r="O21"/>
      <c r="P21"/>
      <c r="Q21"/>
      <c r="R21"/>
      <c r="S21"/>
      <c r="T21"/>
      <c r="U21"/>
      <c r="V21"/>
    </row>
    <row r="22" spans="1:22" s="65" customFormat="1" ht="22.5" x14ac:dyDescent="0.25">
      <c r="A22" s="26" t="s">
        <v>55</v>
      </c>
      <c r="B22" s="26">
        <v>3.1</v>
      </c>
      <c r="C22" s="1" t="s">
        <v>240</v>
      </c>
      <c r="D22" s="26" t="s">
        <v>96</v>
      </c>
      <c r="E22" s="26" t="s">
        <v>80</v>
      </c>
      <c r="F22" s="27" t="s">
        <v>85</v>
      </c>
      <c r="G22" s="155">
        <v>25.022250000000003</v>
      </c>
      <c r="H22" s="156">
        <v>1</v>
      </c>
      <c r="I22" s="156">
        <v>2</v>
      </c>
      <c r="J22" s="158">
        <f>365/7</f>
        <v>52.142857142857146</v>
      </c>
      <c r="K22" s="155">
        <f t="shared" si="0"/>
        <v>0.95975753424657539</v>
      </c>
      <c r="L22" s="26" t="s">
        <v>122</v>
      </c>
      <c r="M22" s="1" t="s">
        <v>123</v>
      </c>
      <c r="N22" s="100"/>
      <c r="O22"/>
      <c r="P22"/>
      <c r="Q22"/>
      <c r="R22"/>
      <c r="S22"/>
      <c r="T22"/>
      <c r="U22"/>
      <c r="V22"/>
    </row>
    <row r="23" spans="1:22" s="65" customFormat="1" ht="22.5" x14ac:dyDescent="0.25">
      <c r="A23" s="26" t="s">
        <v>55</v>
      </c>
      <c r="B23" s="26">
        <v>3.1</v>
      </c>
      <c r="C23" s="1" t="s">
        <v>240</v>
      </c>
      <c r="D23" s="26" t="s">
        <v>96</v>
      </c>
      <c r="E23" s="26" t="s">
        <v>66</v>
      </c>
      <c r="F23" s="27" t="s">
        <v>75</v>
      </c>
      <c r="G23" s="155">
        <v>20.017800000000001</v>
      </c>
      <c r="H23" s="157">
        <v>1</v>
      </c>
      <c r="I23" s="156">
        <v>3</v>
      </c>
      <c r="J23" s="158">
        <f>365/7*3</f>
        <v>156.42857142857144</v>
      </c>
      <c r="K23" s="155">
        <f t="shared" si="0"/>
        <v>0.38390301369863011</v>
      </c>
      <c r="L23" s="26" t="s">
        <v>124</v>
      </c>
      <c r="M23" s="1" t="s">
        <v>125</v>
      </c>
      <c r="N23" s="26"/>
      <c r="O23"/>
      <c r="P23"/>
      <c r="Q23"/>
      <c r="R23"/>
      <c r="S23"/>
      <c r="T23"/>
      <c r="U23"/>
      <c r="V23"/>
    </row>
    <row r="24" spans="1:22" s="65" customFormat="1" ht="22.5" x14ac:dyDescent="0.25">
      <c r="A24" s="26" t="s">
        <v>55</v>
      </c>
      <c r="B24" s="26">
        <v>3.1</v>
      </c>
      <c r="C24" s="1" t="s">
        <v>240</v>
      </c>
      <c r="D24" s="26" t="s">
        <v>96</v>
      </c>
      <c r="E24" s="26" t="s">
        <v>67</v>
      </c>
      <c r="F24" s="27" t="s">
        <v>68</v>
      </c>
      <c r="G24" s="155">
        <v>48.932400000000001</v>
      </c>
      <c r="H24" s="157">
        <v>1</v>
      </c>
      <c r="I24" s="156">
        <v>1</v>
      </c>
      <c r="J24" s="158">
        <f>365/7*3</f>
        <v>156.42857142857144</v>
      </c>
      <c r="K24" s="155">
        <f t="shared" si="0"/>
        <v>0.31280986301369862</v>
      </c>
      <c r="L24" s="26" t="s">
        <v>126</v>
      </c>
      <c r="M24" s="1" t="s">
        <v>127</v>
      </c>
      <c r="N24" s="101"/>
      <c r="O24"/>
      <c r="P24"/>
      <c r="Q24"/>
      <c r="R24"/>
      <c r="S24"/>
      <c r="T24"/>
      <c r="U24"/>
      <c r="V24"/>
    </row>
    <row r="25" spans="1:22" s="65" customFormat="1" ht="22.5" x14ac:dyDescent="0.25">
      <c r="A25" s="26" t="s">
        <v>55</v>
      </c>
      <c r="B25" s="26">
        <v>3.1</v>
      </c>
      <c r="C25" s="1" t="s">
        <v>240</v>
      </c>
      <c r="D25" s="26" t="s">
        <v>96</v>
      </c>
      <c r="E25" s="26" t="s">
        <v>67</v>
      </c>
      <c r="F25" s="27" t="s">
        <v>68</v>
      </c>
      <c r="G25" s="155">
        <v>50.044500000000006</v>
      </c>
      <c r="H25" s="157">
        <v>1</v>
      </c>
      <c r="I25" s="156">
        <v>1</v>
      </c>
      <c r="J25" s="158">
        <f>365/7*3</f>
        <v>156.42857142857144</v>
      </c>
      <c r="K25" s="155">
        <f t="shared" si="0"/>
        <v>0.31991917808219178</v>
      </c>
      <c r="L25" s="26" t="s">
        <v>126</v>
      </c>
      <c r="M25" s="1" t="s">
        <v>128</v>
      </c>
      <c r="N25" s="26"/>
      <c r="O25"/>
      <c r="P25"/>
      <c r="Q25"/>
      <c r="R25"/>
      <c r="S25"/>
      <c r="T25"/>
      <c r="U25"/>
      <c r="V25"/>
    </row>
    <row r="26" spans="1:22" s="65" customFormat="1" ht="22.5" x14ac:dyDescent="0.25">
      <c r="A26" s="26" t="s">
        <v>55</v>
      </c>
      <c r="B26" s="26">
        <v>3.1</v>
      </c>
      <c r="C26" s="1" t="s">
        <v>240</v>
      </c>
      <c r="D26" s="26" t="s">
        <v>96</v>
      </c>
      <c r="E26" s="26" t="s">
        <v>129</v>
      </c>
      <c r="F26" s="27" t="s">
        <v>75</v>
      </c>
      <c r="G26" s="155">
        <v>15.569400000000002</v>
      </c>
      <c r="H26" s="156">
        <v>1</v>
      </c>
      <c r="I26" s="156">
        <v>1</v>
      </c>
      <c r="J26" s="158">
        <f>365/7*5</f>
        <v>260.71428571428572</v>
      </c>
      <c r="K26" s="155">
        <f t="shared" si="0"/>
        <v>5.9718246575342471E-2</v>
      </c>
      <c r="L26" s="26" t="s">
        <v>130</v>
      </c>
      <c r="M26" s="1" t="s">
        <v>131</v>
      </c>
      <c r="N26" s="26"/>
      <c r="O26"/>
      <c r="P26"/>
      <c r="Q26"/>
      <c r="R26"/>
      <c r="S26"/>
      <c r="T26"/>
      <c r="U26"/>
      <c r="V26"/>
    </row>
    <row r="27" spans="1:22" s="65" customFormat="1" ht="22.5" x14ac:dyDescent="0.25">
      <c r="A27" s="26" t="s">
        <v>55</v>
      </c>
      <c r="B27" s="26">
        <v>3.1</v>
      </c>
      <c r="C27" s="1" t="s">
        <v>240</v>
      </c>
      <c r="D27" s="26" t="s">
        <v>96</v>
      </c>
      <c r="E27" s="26" t="s">
        <v>69</v>
      </c>
      <c r="F27" s="27" t="s">
        <v>85</v>
      </c>
      <c r="G27" s="155">
        <v>21.685950000000002</v>
      </c>
      <c r="H27" s="157">
        <v>1</v>
      </c>
      <c r="I27" s="156">
        <v>1</v>
      </c>
      <c r="J27" s="158">
        <f>365/7*5</f>
        <v>260.71428571428572</v>
      </c>
      <c r="K27" s="155">
        <f t="shared" si="0"/>
        <v>8.317898630136987E-2</v>
      </c>
      <c r="L27" s="26" t="s">
        <v>132</v>
      </c>
      <c r="M27" s="24" t="s">
        <v>133</v>
      </c>
      <c r="N27" s="26"/>
      <c r="O27"/>
      <c r="P27"/>
      <c r="Q27"/>
      <c r="R27"/>
      <c r="S27"/>
      <c r="T27"/>
      <c r="U27"/>
      <c r="V27"/>
    </row>
    <row r="28" spans="1:22" s="65" customFormat="1" ht="22.5" x14ac:dyDescent="0.25">
      <c r="A28" s="26" t="s">
        <v>55</v>
      </c>
      <c r="B28" s="26">
        <v>3.1</v>
      </c>
      <c r="C28" s="1" t="s">
        <v>240</v>
      </c>
      <c r="D28" s="26" t="s">
        <v>96</v>
      </c>
      <c r="E28" s="26" t="s">
        <v>134</v>
      </c>
      <c r="F28" s="27" t="s">
        <v>135</v>
      </c>
      <c r="G28" s="155">
        <v>17.793600000000001</v>
      </c>
      <c r="H28" s="156">
        <v>1</v>
      </c>
      <c r="I28" s="156">
        <v>1</v>
      </c>
      <c r="J28" s="158">
        <f>365/7*5</f>
        <v>260.71428571428572</v>
      </c>
      <c r="K28" s="155">
        <f t="shared" si="0"/>
        <v>6.8249424657534252E-2</v>
      </c>
      <c r="L28" s="26" t="s">
        <v>136</v>
      </c>
      <c r="M28" s="1" t="s">
        <v>137</v>
      </c>
      <c r="N28" s="26"/>
      <c r="O28"/>
      <c r="P28"/>
      <c r="Q28"/>
      <c r="R28"/>
      <c r="S28"/>
      <c r="T28"/>
      <c r="U28"/>
      <c r="V28"/>
    </row>
    <row r="29" spans="1:22" s="65" customFormat="1" ht="22.5" x14ac:dyDescent="0.25">
      <c r="A29" s="26" t="s">
        <v>55</v>
      </c>
      <c r="B29" s="26">
        <v>3.1</v>
      </c>
      <c r="C29" s="1" t="s">
        <v>240</v>
      </c>
      <c r="D29" s="26" t="s">
        <v>96</v>
      </c>
      <c r="E29" s="26" t="s">
        <v>138</v>
      </c>
      <c r="F29" s="27" t="s">
        <v>75</v>
      </c>
      <c r="G29" s="155">
        <v>13.901250000000001</v>
      </c>
      <c r="H29" s="156">
        <v>1</v>
      </c>
      <c r="I29" s="156">
        <v>3</v>
      </c>
      <c r="J29" s="158">
        <f>365/7*5</f>
        <v>260.71428571428572</v>
      </c>
      <c r="K29" s="155">
        <f t="shared" si="0"/>
        <v>0.15995958904109589</v>
      </c>
      <c r="L29" s="26" t="s">
        <v>139</v>
      </c>
      <c r="M29" s="1" t="s">
        <v>140</v>
      </c>
      <c r="N29" s="26"/>
      <c r="O29"/>
      <c r="P29"/>
      <c r="Q29"/>
      <c r="R29"/>
      <c r="S29"/>
      <c r="T29"/>
      <c r="U29"/>
      <c r="V29"/>
    </row>
    <row r="30" spans="1:22" s="65" customFormat="1" ht="22.5" x14ac:dyDescent="0.25">
      <c r="A30" s="26" t="s">
        <v>55</v>
      </c>
      <c r="B30" s="26">
        <v>3.1</v>
      </c>
      <c r="C30" s="1" t="s">
        <v>240</v>
      </c>
      <c r="D30" s="26" t="s">
        <v>96</v>
      </c>
      <c r="E30" s="26" t="s">
        <v>141</v>
      </c>
      <c r="F30" s="27" t="s">
        <v>75</v>
      </c>
      <c r="G30" s="155">
        <v>15.569400000000002</v>
      </c>
      <c r="H30" s="156">
        <v>1</v>
      </c>
      <c r="I30" s="156">
        <v>2</v>
      </c>
      <c r="J30" s="158">
        <f>365/7*5</f>
        <v>260.71428571428572</v>
      </c>
      <c r="K30" s="155">
        <f t="shared" si="0"/>
        <v>0.11943649315068494</v>
      </c>
      <c r="L30" s="26" t="s">
        <v>142</v>
      </c>
      <c r="M30" s="1" t="s">
        <v>143</v>
      </c>
      <c r="N30" s="26"/>
      <c r="O30"/>
      <c r="P30"/>
      <c r="Q30"/>
      <c r="R30"/>
      <c r="S30"/>
      <c r="T30"/>
      <c r="U30"/>
      <c r="V30"/>
    </row>
    <row r="31" spans="1:22" s="65" customFormat="1" ht="22.5" x14ac:dyDescent="0.25">
      <c r="A31" s="26" t="s">
        <v>55</v>
      </c>
      <c r="B31" s="26">
        <v>3.1</v>
      </c>
      <c r="C31" s="1" t="s">
        <v>240</v>
      </c>
      <c r="D31" s="26" t="s">
        <v>96</v>
      </c>
      <c r="E31" s="26" t="s">
        <v>144</v>
      </c>
      <c r="F31" s="27" t="s">
        <v>75</v>
      </c>
      <c r="G31" s="155">
        <v>15.569400000000002</v>
      </c>
      <c r="H31" s="156">
        <v>1</v>
      </c>
      <c r="I31" s="156">
        <v>1</v>
      </c>
      <c r="J31" s="158">
        <f>365/7</f>
        <v>52.142857142857146</v>
      </c>
      <c r="K31" s="155">
        <f t="shared" si="0"/>
        <v>0.29859123287671235</v>
      </c>
      <c r="L31" s="26" t="s">
        <v>145</v>
      </c>
      <c r="M31" s="1" t="s">
        <v>146</v>
      </c>
      <c r="N31" s="26"/>
      <c r="O31"/>
      <c r="P31"/>
      <c r="Q31"/>
      <c r="R31"/>
      <c r="S31"/>
      <c r="T31"/>
      <c r="U31"/>
      <c r="V31"/>
    </row>
    <row r="32" spans="1:22" s="65" customFormat="1" ht="22.5" x14ac:dyDescent="0.25">
      <c r="A32" s="26" t="s">
        <v>55</v>
      </c>
      <c r="B32" s="26">
        <v>3.1</v>
      </c>
      <c r="C32" s="1" t="s">
        <v>240</v>
      </c>
      <c r="D32" s="26" t="s">
        <v>96</v>
      </c>
      <c r="E32" s="26" t="s">
        <v>72</v>
      </c>
      <c r="F32" s="27" t="s">
        <v>75</v>
      </c>
      <c r="G32" s="155">
        <v>15.569400000000002</v>
      </c>
      <c r="H32" s="156">
        <v>1</v>
      </c>
      <c r="I32" s="156">
        <v>2</v>
      </c>
      <c r="J32" s="158">
        <f>365/7*5</f>
        <v>260.71428571428572</v>
      </c>
      <c r="K32" s="155">
        <f t="shared" si="0"/>
        <v>0.11943649315068494</v>
      </c>
      <c r="L32" s="26" t="s">
        <v>147</v>
      </c>
      <c r="M32" s="1" t="s">
        <v>148</v>
      </c>
      <c r="N32" s="26"/>
      <c r="O32"/>
      <c r="P32"/>
      <c r="Q32"/>
      <c r="R32"/>
      <c r="S32"/>
      <c r="T32"/>
      <c r="U32"/>
      <c r="V32"/>
    </row>
    <row r="33" spans="1:23" s="65" customFormat="1" ht="22.5" x14ac:dyDescent="0.25">
      <c r="A33" s="26" t="s">
        <v>55</v>
      </c>
      <c r="B33" s="26">
        <v>3.1</v>
      </c>
      <c r="C33" s="1" t="s">
        <v>240</v>
      </c>
      <c r="D33" s="26" t="s">
        <v>149</v>
      </c>
      <c r="E33" s="26" t="s">
        <v>150</v>
      </c>
      <c r="F33" s="27" t="s">
        <v>77</v>
      </c>
      <c r="G33" s="155">
        <v>4.4372790000000002</v>
      </c>
      <c r="H33" s="156">
        <v>2</v>
      </c>
      <c r="I33" s="156">
        <v>1</v>
      </c>
      <c r="J33" s="158">
        <f>365/7*4</f>
        <v>208.57142857142858</v>
      </c>
      <c r="K33" s="155">
        <f t="shared" si="0"/>
        <v>2.1274625342465752E-2</v>
      </c>
      <c r="L33" s="26" t="s">
        <v>151</v>
      </c>
      <c r="M33" s="1" t="s">
        <v>152</v>
      </c>
      <c r="N33" s="26"/>
      <c r="O33"/>
      <c r="P33"/>
      <c r="Q33"/>
      <c r="R33"/>
      <c r="S33"/>
      <c r="T33"/>
      <c r="U33"/>
      <c r="V33"/>
    </row>
    <row r="34" spans="1:23" s="65" customFormat="1" ht="22.5" x14ac:dyDescent="0.25">
      <c r="A34" s="26" t="s">
        <v>55</v>
      </c>
      <c r="B34" s="26">
        <v>3.1</v>
      </c>
      <c r="C34" s="1" t="s">
        <v>240</v>
      </c>
      <c r="D34" s="26" t="s">
        <v>149</v>
      </c>
      <c r="E34" s="26" t="s">
        <v>153</v>
      </c>
      <c r="F34" s="27" t="s">
        <v>85</v>
      </c>
      <c r="G34" s="155">
        <v>19.461750000000002</v>
      </c>
      <c r="H34" s="156">
        <v>1</v>
      </c>
      <c r="I34" s="156">
        <v>1</v>
      </c>
      <c r="J34" s="158">
        <f>365/7*2</f>
        <v>104.28571428571429</v>
      </c>
      <c r="K34" s="155">
        <f t="shared" si="0"/>
        <v>0.18661952054794523</v>
      </c>
      <c r="L34" s="26" t="s">
        <v>154</v>
      </c>
      <c r="M34" s="24" t="s">
        <v>155</v>
      </c>
      <c r="N34" s="26"/>
      <c r="O34"/>
      <c r="P34"/>
      <c r="Q34"/>
      <c r="R34"/>
      <c r="S34"/>
      <c r="T34"/>
      <c r="U34"/>
      <c r="V34"/>
    </row>
    <row r="35" spans="1:23" s="65" customFormat="1" ht="22.5" x14ac:dyDescent="0.25">
      <c r="A35" s="26" t="s">
        <v>55</v>
      </c>
      <c r="B35" s="26">
        <v>3.1</v>
      </c>
      <c r="C35" s="1" t="s">
        <v>240</v>
      </c>
      <c r="D35" s="26" t="s">
        <v>149</v>
      </c>
      <c r="E35" s="26" t="s">
        <v>73</v>
      </c>
      <c r="F35" s="27" t="s">
        <v>75</v>
      </c>
      <c r="G35" s="155">
        <v>8.8968000000000007</v>
      </c>
      <c r="H35" s="156">
        <v>1</v>
      </c>
      <c r="I35" s="156">
        <v>1</v>
      </c>
      <c r="J35" s="158">
        <f>365/7*10</f>
        <v>521.42857142857144</v>
      </c>
      <c r="K35" s="155">
        <f t="shared" si="0"/>
        <v>1.7062356164383563E-2</v>
      </c>
      <c r="L35" s="26" t="s">
        <v>156</v>
      </c>
      <c r="M35" s="1" t="s">
        <v>157</v>
      </c>
      <c r="N35" s="26"/>
      <c r="O35"/>
      <c r="P35"/>
      <c r="Q35"/>
      <c r="R35"/>
      <c r="S35"/>
      <c r="T35"/>
      <c r="U35"/>
      <c r="V35"/>
    </row>
    <row r="36" spans="1:23" s="65" customFormat="1" ht="22.5" x14ac:dyDescent="0.25">
      <c r="A36" s="26" t="s">
        <v>55</v>
      </c>
      <c r="B36" s="26">
        <v>3.1</v>
      </c>
      <c r="C36" s="1" t="s">
        <v>240</v>
      </c>
      <c r="D36" s="26" t="s">
        <v>149</v>
      </c>
      <c r="E36" s="26" t="s">
        <v>158</v>
      </c>
      <c r="F36" s="27" t="s">
        <v>135</v>
      </c>
      <c r="G36" s="155">
        <v>8.8968000000000007</v>
      </c>
      <c r="H36" s="156">
        <v>1</v>
      </c>
      <c r="I36" s="156">
        <v>1</v>
      </c>
      <c r="J36" s="158">
        <f>365/7*10</f>
        <v>521.42857142857144</v>
      </c>
      <c r="K36" s="155">
        <f t="shared" si="0"/>
        <v>1.7062356164383563E-2</v>
      </c>
      <c r="L36" s="26" t="s">
        <v>159</v>
      </c>
      <c r="M36" s="1" t="s">
        <v>160</v>
      </c>
      <c r="N36" s="26"/>
      <c r="O36"/>
      <c r="P36"/>
      <c r="Q36"/>
      <c r="R36"/>
      <c r="S36"/>
      <c r="T36"/>
      <c r="U36"/>
      <c r="V36"/>
    </row>
    <row r="37" spans="1:23" s="65" customFormat="1" x14ac:dyDescent="0.25">
      <c r="A37" s="26" t="s">
        <v>55</v>
      </c>
      <c r="B37" s="26">
        <v>3.1</v>
      </c>
      <c r="C37" s="1" t="s">
        <v>240</v>
      </c>
      <c r="D37" s="26" t="s">
        <v>161</v>
      </c>
      <c r="E37" s="26" t="s">
        <v>162</v>
      </c>
      <c r="F37" s="27" t="s">
        <v>75</v>
      </c>
      <c r="G37" s="155">
        <v>13.901250000000001</v>
      </c>
      <c r="H37" s="156">
        <v>1</v>
      </c>
      <c r="I37" s="156">
        <v>1</v>
      </c>
      <c r="J37" s="158">
        <f>365/7*5</f>
        <v>260.71428571428572</v>
      </c>
      <c r="K37" s="155">
        <f t="shared" si="0"/>
        <v>5.3319863013698635E-2</v>
      </c>
      <c r="L37" s="26" t="s">
        <v>163</v>
      </c>
      <c r="M37" s="1" t="s">
        <v>164</v>
      </c>
      <c r="N37" s="26"/>
      <c r="O37"/>
      <c r="P37"/>
      <c r="Q37"/>
      <c r="R37"/>
      <c r="S37"/>
      <c r="T37"/>
      <c r="U37"/>
      <c r="V37"/>
    </row>
    <row r="38" spans="1:23" s="65" customFormat="1" ht="22.5" x14ac:dyDescent="0.25">
      <c r="A38" s="26" t="s">
        <v>55</v>
      </c>
      <c r="B38" s="26">
        <v>3.1</v>
      </c>
      <c r="C38" s="26" t="s">
        <v>240</v>
      </c>
      <c r="D38" s="26" t="s">
        <v>161</v>
      </c>
      <c r="E38" s="26" t="s">
        <v>165</v>
      </c>
      <c r="F38" s="27" t="s">
        <v>83</v>
      </c>
      <c r="G38" s="155">
        <v>35.587200000000003</v>
      </c>
      <c r="H38" s="156">
        <v>1</v>
      </c>
      <c r="I38" s="156">
        <v>1</v>
      </c>
      <c r="J38" s="158">
        <f>365/7*10</f>
        <v>521.42857142857144</v>
      </c>
      <c r="K38" s="155">
        <f t="shared" si="0"/>
        <v>6.8249424657534252E-2</v>
      </c>
      <c r="L38" s="26" t="s">
        <v>166</v>
      </c>
      <c r="M38" s="1" t="s">
        <v>167</v>
      </c>
      <c r="N38" s="26"/>
      <c r="O38"/>
      <c r="P38"/>
      <c r="Q38"/>
      <c r="R38"/>
      <c r="S38"/>
      <c r="T38"/>
      <c r="U38"/>
      <c r="V38"/>
    </row>
    <row r="39" spans="1:23" s="65" customFormat="1" ht="22.5" x14ac:dyDescent="0.25">
      <c r="A39" s="26" t="s">
        <v>55</v>
      </c>
      <c r="B39" s="26">
        <v>3.1</v>
      </c>
      <c r="C39" s="1" t="s">
        <v>240</v>
      </c>
      <c r="D39" s="26" t="s">
        <v>161</v>
      </c>
      <c r="E39" s="26" t="s">
        <v>74</v>
      </c>
      <c r="F39" s="26" t="s">
        <v>62</v>
      </c>
      <c r="G39" s="155">
        <v>33.363</v>
      </c>
      <c r="H39" s="156">
        <v>1</v>
      </c>
      <c r="I39" s="156">
        <v>1</v>
      </c>
      <c r="J39" s="158">
        <f>365/7*5</f>
        <v>260.71428571428572</v>
      </c>
      <c r="K39" s="155">
        <f t="shared" si="0"/>
        <v>0.1279676712328767</v>
      </c>
      <c r="L39" s="26" t="s">
        <v>168</v>
      </c>
      <c r="M39" s="27" t="s">
        <v>169</v>
      </c>
      <c r="N39" s="26"/>
      <c r="O39"/>
      <c r="P39"/>
      <c r="Q39"/>
      <c r="R39"/>
      <c r="S39"/>
      <c r="T39"/>
      <c r="U39"/>
      <c r="V39"/>
    </row>
    <row r="40" spans="1:23" s="65" customFormat="1" ht="22.5" x14ac:dyDescent="0.25">
      <c r="A40" s="26" t="s">
        <v>55</v>
      </c>
      <c r="B40" s="26">
        <v>3.1</v>
      </c>
      <c r="C40" s="1" t="s">
        <v>240</v>
      </c>
      <c r="D40" s="26" t="s">
        <v>161</v>
      </c>
      <c r="E40" s="26" t="s">
        <v>170</v>
      </c>
      <c r="F40" s="27" t="s">
        <v>62</v>
      </c>
      <c r="G40" s="155">
        <v>33.363</v>
      </c>
      <c r="H40" s="156">
        <v>1</v>
      </c>
      <c r="I40" s="156">
        <v>1</v>
      </c>
      <c r="J40" s="158">
        <f>365/7*5</f>
        <v>260.71428571428572</v>
      </c>
      <c r="K40" s="155">
        <f t="shared" si="0"/>
        <v>0.1279676712328767</v>
      </c>
      <c r="L40" s="26" t="s">
        <v>171</v>
      </c>
      <c r="M40" s="1" t="s">
        <v>172</v>
      </c>
      <c r="N40" s="26"/>
      <c r="O40"/>
      <c r="P40"/>
      <c r="Q40"/>
      <c r="R40"/>
      <c r="S40"/>
      <c r="T40"/>
      <c r="U40"/>
      <c r="V40"/>
    </row>
    <row r="41" spans="1:23" s="65" customFormat="1" ht="22.5" x14ac:dyDescent="0.25">
      <c r="A41" s="26" t="s">
        <v>55</v>
      </c>
      <c r="B41" s="26">
        <v>3.1</v>
      </c>
      <c r="C41" s="1" t="s">
        <v>240</v>
      </c>
      <c r="D41" s="26" t="s">
        <v>161</v>
      </c>
      <c r="E41" s="26" t="s">
        <v>82</v>
      </c>
      <c r="F41" s="27" t="s">
        <v>83</v>
      </c>
      <c r="G41" s="155">
        <v>34.475100000000005</v>
      </c>
      <c r="H41" s="156">
        <v>1</v>
      </c>
      <c r="I41" s="156">
        <v>1</v>
      </c>
      <c r="J41" s="158">
        <f>365/7*5</f>
        <v>260.71428571428572</v>
      </c>
      <c r="K41" s="155">
        <f t="shared" si="0"/>
        <v>0.13223326027397261</v>
      </c>
      <c r="L41" s="26" t="s">
        <v>173</v>
      </c>
      <c r="M41" s="1" t="s">
        <v>174</v>
      </c>
      <c r="N41" s="26"/>
      <c r="O41"/>
      <c r="P41"/>
      <c r="Q41"/>
      <c r="R41"/>
      <c r="S41"/>
      <c r="T41"/>
      <c r="U41"/>
      <c r="V41"/>
    </row>
    <row r="42" spans="1:23" s="65" customFormat="1" ht="22.5" x14ac:dyDescent="0.25">
      <c r="A42" s="26" t="s">
        <v>55</v>
      </c>
      <c r="B42" s="26">
        <v>3.1</v>
      </c>
      <c r="C42" s="1" t="s">
        <v>240</v>
      </c>
      <c r="D42" s="26" t="s">
        <v>161</v>
      </c>
      <c r="E42" s="26" t="s">
        <v>70</v>
      </c>
      <c r="F42" s="27" t="s">
        <v>75</v>
      </c>
      <c r="G42" s="155">
        <v>27.802500000000002</v>
      </c>
      <c r="H42" s="156">
        <v>1</v>
      </c>
      <c r="I42" s="156">
        <v>1</v>
      </c>
      <c r="J42" s="158">
        <f>365/7*5</f>
        <v>260.71428571428572</v>
      </c>
      <c r="K42" s="155">
        <f t="shared" si="0"/>
        <v>0.10663972602739727</v>
      </c>
      <c r="L42" s="26" t="s">
        <v>175</v>
      </c>
      <c r="M42" s="1" t="s">
        <v>176</v>
      </c>
      <c r="N42" s="26"/>
      <c r="O42"/>
      <c r="P42"/>
      <c r="Q42"/>
      <c r="R42"/>
      <c r="S42"/>
      <c r="T42"/>
      <c r="U42"/>
      <c r="V42"/>
    </row>
    <row r="43" spans="1:23" s="79" customFormat="1" ht="22.5" x14ac:dyDescent="0.25">
      <c r="A43" s="40" t="s">
        <v>55</v>
      </c>
      <c r="B43" s="24">
        <v>3.1</v>
      </c>
      <c r="C43" s="26" t="s">
        <v>240</v>
      </c>
      <c r="D43" s="26" t="s">
        <v>177</v>
      </c>
      <c r="E43" s="26" t="s">
        <v>76</v>
      </c>
      <c r="F43" s="27" t="s">
        <v>135</v>
      </c>
      <c r="G43" s="155">
        <v>20.017800000000001</v>
      </c>
      <c r="H43" s="156">
        <v>2</v>
      </c>
      <c r="I43" s="156">
        <v>1</v>
      </c>
      <c r="J43" s="158">
        <f>365/7</f>
        <v>52.142857142857146</v>
      </c>
      <c r="K43" s="155">
        <f t="shared" si="0"/>
        <v>0.38390301369863011</v>
      </c>
      <c r="L43" s="26" t="s">
        <v>178</v>
      </c>
      <c r="M43" s="1" t="s">
        <v>179</v>
      </c>
      <c r="N43" s="26"/>
      <c r="O43"/>
      <c r="P43"/>
      <c r="Q43"/>
      <c r="R43"/>
      <c r="S43"/>
      <c r="T43"/>
      <c r="U43"/>
      <c r="V43"/>
    </row>
    <row r="44" spans="1:23" s="3" customFormat="1" ht="22.5" x14ac:dyDescent="0.25">
      <c r="A44" s="1" t="s">
        <v>55</v>
      </c>
      <c r="B44" s="1">
        <v>3.1</v>
      </c>
      <c r="C44" s="1" t="s">
        <v>240</v>
      </c>
      <c r="D44" s="26" t="s">
        <v>180</v>
      </c>
      <c r="E44" s="26" t="s">
        <v>78</v>
      </c>
      <c r="F44" s="27" t="s">
        <v>135</v>
      </c>
      <c r="G44" s="155">
        <v>15.569400000000002</v>
      </c>
      <c r="H44" s="156">
        <v>1</v>
      </c>
      <c r="I44" s="156">
        <v>2</v>
      </c>
      <c r="J44" s="158">
        <f>365/7*2</f>
        <v>104.28571428571429</v>
      </c>
      <c r="K44" s="155">
        <f t="shared" si="0"/>
        <v>0.29859123287671235</v>
      </c>
      <c r="L44" s="26" t="s">
        <v>181</v>
      </c>
      <c r="M44" s="1" t="s">
        <v>182</v>
      </c>
      <c r="N44" s="26"/>
      <c r="O44"/>
      <c r="P44"/>
      <c r="Q44"/>
      <c r="R44"/>
      <c r="S44"/>
      <c r="T44"/>
      <c r="U44"/>
      <c r="V44"/>
      <c r="W44" s="66"/>
    </row>
    <row r="45" spans="1:23" s="3" customFormat="1" ht="22.5" x14ac:dyDescent="0.25">
      <c r="A45" s="1" t="s">
        <v>55</v>
      </c>
      <c r="B45" s="1">
        <v>3.1</v>
      </c>
      <c r="C45" s="1" t="s">
        <v>240</v>
      </c>
      <c r="D45" s="26" t="s">
        <v>180</v>
      </c>
      <c r="E45" s="26" t="s">
        <v>79</v>
      </c>
      <c r="F45" s="27" t="s">
        <v>75</v>
      </c>
      <c r="G45" s="155">
        <v>13.901250000000001</v>
      </c>
      <c r="H45" s="156">
        <v>1</v>
      </c>
      <c r="I45" s="156">
        <v>2</v>
      </c>
      <c r="J45" s="158">
        <f>365/7*2</f>
        <v>104.28571428571429</v>
      </c>
      <c r="K45" s="155">
        <f t="shared" si="0"/>
        <v>0.26659931506849316</v>
      </c>
      <c r="L45" s="26" t="s">
        <v>183</v>
      </c>
      <c r="M45" s="1" t="s">
        <v>184</v>
      </c>
      <c r="N45" s="26"/>
      <c r="O45"/>
      <c r="P45"/>
      <c r="Q45"/>
      <c r="R45"/>
      <c r="S45"/>
      <c r="T45"/>
      <c r="U45"/>
      <c r="V45"/>
    </row>
    <row r="46" spans="1:23" s="65" customFormat="1" x14ac:dyDescent="0.25">
      <c r="A46" s="26" t="s">
        <v>55</v>
      </c>
      <c r="B46" s="26">
        <v>3.1</v>
      </c>
      <c r="C46" s="1" t="s">
        <v>240</v>
      </c>
      <c r="D46" s="26" t="s">
        <v>180</v>
      </c>
      <c r="E46" s="26" t="s">
        <v>185</v>
      </c>
      <c r="F46" s="27" t="s">
        <v>75</v>
      </c>
      <c r="G46" s="155">
        <v>16.6815</v>
      </c>
      <c r="H46" s="156">
        <v>1</v>
      </c>
      <c r="I46" s="156">
        <v>1</v>
      </c>
      <c r="J46" s="158">
        <f>365/7*5</f>
        <v>260.71428571428572</v>
      </c>
      <c r="K46" s="155">
        <f t="shared" si="0"/>
        <v>6.3983835616438348E-2</v>
      </c>
      <c r="L46" s="26" t="s">
        <v>186</v>
      </c>
      <c r="M46" s="1" t="s">
        <v>187</v>
      </c>
      <c r="N46" s="26"/>
      <c r="O46"/>
      <c r="P46"/>
      <c r="Q46"/>
      <c r="R46"/>
      <c r="S46"/>
      <c r="T46"/>
      <c r="U46"/>
      <c r="V46"/>
    </row>
    <row r="47" spans="1:23" s="65" customFormat="1" ht="17.25" customHeight="1" x14ac:dyDescent="0.25">
      <c r="A47" s="26" t="s">
        <v>55</v>
      </c>
      <c r="B47" s="26">
        <v>3.1</v>
      </c>
      <c r="C47" s="1" t="s">
        <v>240</v>
      </c>
      <c r="D47" s="26" t="s">
        <v>180</v>
      </c>
      <c r="E47" s="26" t="s">
        <v>188</v>
      </c>
      <c r="F47" s="27" t="s">
        <v>135</v>
      </c>
      <c r="G47" s="155">
        <v>17.793600000000001</v>
      </c>
      <c r="H47" s="156">
        <v>1</v>
      </c>
      <c r="I47" s="156">
        <v>1</v>
      </c>
      <c r="J47" s="158">
        <f>365/7*5</f>
        <v>260.71428571428572</v>
      </c>
      <c r="K47" s="155">
        <f t="shared" si="0"/>
        <v>6.8249424657534252E-2</v>
      </c>
      <c r="L47" s="26" t="s">
        <v>186</v>
      </c>
      <c r="M47" s="1" t="s">
        <v>189</v>
      </c>
      <c r="N47" s="26"/>
      <c r="O47"/>
      <c r="P47"/>
      <c r="Q47"/>
      <c r="R47"/>
      <c r="S47"/>
      <c r="T47"/>
      <c r="U47"/>
      <c r="V47"/>
    </row>
    <row r="48" spans="1:23" s="3" customFormat="1" x14ac:dyDescent="0.25">
      <c r="A48" s="1"/>
      <c r="B48" s="1"/>
      <c r="C48" s="1"/>
      <c r="D48" s="26"/>
      <c r="E48" s="26"/>
      <c r="F48" s="27"/>
      <c r="G48" s="27"/>
      <c r="H48" s="26"/>
      <c r="I48" s="26"/>
      <c r="J48" s="27"/>
      <c r="K48" s="27"/>
      <c r="L48" s="26"/>
      <c r="M48" s="26"/>
      <c r="N48" s="26"/>
      <c r="O48"/>
      <c r="P48"/>
      <c r="Q48"/>
      <c r="R48"/>
      <c r="S48"/>
      <c r="T48"/>
      <c r="U48"/>
      <c r="V48"/>
    </row>
    <row r="49" spans="1:22" s="3" customFormat="1" x14ac:dyDescent="0.25">
      <c r="A49" s="1"/>
      <c r="B49" s="1"/>
      <c r="C49" s="1"/>
      <c r="D49" s="26"/>
      <c r="E49" s="38" t="s">
        <v>1283</v>
      </c>
      <c r="F49" s="27">
        <f>SUM(K5:K47)</f>
        <v>8.9042927102739728</v>
      </c>
      <c r="G49" s="27"/>
      <c r="H49" s="26"/>
      <c r="I49" s="26"/>
      <c r="J49" s="27"/>
      <c r="K49" s="27"/>
      <c r="L49" s="26"/>
      <c r="M49" s="26"/>
      <c r="N49" s="26"/>
      <c r="O49"/>
      <c r="P49"/>
      <c r="Q49"/>
      <c r="R49"/>
      <c r="S49"/>
      <c r="T49"/>
      <c r="U49"/>
      <c r="V49"/>
    </row>
    <row r="50" spans="1:22" s="3" customFormat="1" x14ac:dyDescent="0.25">
      <c r="A50" s="1"/>
      <c r="B50" s="1"/>
      <c r="C50" s="1"/>
      <c r="D50" s="1"/>
      <c r="E50" s="1"/>
      <c r="F50" s="1"/>
      <c r="G50" s="1"/>
      <c r="H50" s="1"/>
      <c r="I50" s="1"/>
      <c r="J50" s="1"/>
      <c r="K50" s="1"/>
      <c r="L50" s="1"/>
      <c r="M50" s="1"/>
      <c r="N50" s="26"/>
      <c r="O50"/>
      <c r="P50"/>
      <c r="Q50"/>
      <c r="R50"/>
      <c r="S50"/>
      <c r="T50"/>
      <c r="U50"/>
      <c r="V50"/>
    </row>
    <row r="51" spans="1:22" s="3" customFormat="1" x14ac:dyDescent="0.25">
      <c r="A51" s="1"/>
      <c r="B51" s="1"/>
      <c r="C51" s="1"/>
      <c r="D51" s="1"/>
      <c r="E51" s="1"/>
      <c r="F51" s="1"/>
      <c r="G51" s="1"/>
      <c r="H51" s="1"/>
      <c r="I51" s="1"/>
      <c r="J51" s="1"/>
      <c r="K51" s="1"/>
      <c r="L51" s="1"/>
      <c r="M51" s="1"/>
      <c r="N51" s="26"/>
      <c r="O51"/>
      <c r="P51"/>
      <c r="Q51"/>
      <c r="R51"/>
      <c r="S51"/>
      <c r="T51"/>
      <c r="U51"/>
      <c r="V51"/>
    </row>
    <row r="52" spans="1:22" s="3" customFormat="1" x14ac:dyDescent="0.25">
      <c r="A52" s="1"/>
      <c r="B52" s="1"/>
      <c r="C52" s="1"/>
      <c r="D52" s="1"/>
      <c r="E52" s="1"/>
      <c r="F52" s="1"/>
      <c r="G52" s="1"/>
      <c r="H52" s="1"/>
      <c r="I52" s="1"/>
      <c r="J52" s="1"/>
      <c r="K52" s="1"/>
      <c r="L52" s="1"/>
      <c r="M52" s="1"/>
      <c r="N52" s="26"/>
      <c r="O52"/>
      <c r="P52"/>
      <c r="Q52"/>
      <c r="R52"/>
      <c r="S52"/>
      <c r="T52"/>
      <c r="U52"/>
      <c r="V52"/>
    </row>
    <row r="53" spans="1:22" s="3" customFormat="1" x14ac:dyDescent="0.25">
      <c r="A53" s="1"/>
      <c r="B53" s="1"/>
      <c r="C53" s="1"/>
      <c r="D53" s="1"/>
      <c r="E53" s="1"/>
      <c r="F53" s="1"/>
      <c r="G53" s="1"/>
      <c r="H53" s="1"/>
      <c r="I53" s="1"/>
      <c r="J53" s="1"/>
      <c r="K53" s="1"/>
      <c r="L53" s="1"/>
      <c r="M53" s="1"/>
      <c r="N53" s="26"/>
      <c r="O53"/>
      <c r="P53"/>
      <c r="Q53"/>
      <c r="R53"/>
      <c r="S53"/>
      <c r="T53"/>
      <c r="U53"/>
      <c r="V53"/>
    </row>
    <row r="54" spans="1:22" s="3" customFormat="1" x14ac:dyDescent="0.25">
      <c r="A54" s="1"/>
      <c r="B54" s="1"/>
      <c r="C54" s="1"/>
      <c r="D54" s="1"/>
      <c r="E54" s="1"/>
      <c r="F54" s="1"/>
      <c r="G54" s="1"/>
      <c r="H54" s="1"/>
      <c r="I54" s="1"/>
      <c r="J54" s="1"/>
      <c r="K54" s="1"/>
      <c r="L54" s="1"/>
      <c r="M54" s="1"/>
      <c r="N54" s="26"/>
      <c r="O54"/>
      <c r="P54"/>
      <c r="Q54"/>
      <c r="R54"/>
      <c r="S54"/>
      <c r="T54"/>
      <c r="U54"/>
      <c r="V54"/>
    </row>
    <row r="55" spans="1:22" s="3" customFormat="1" x14ac:dyDescent="0.25">
      <c r="A55" s="1"/>
      <c r="B55" s="1"/>
      <c r="C55" s="1"/>
      <c r="D55" s="1"/>
      <c r="E55" s="1"/>
      <c r="F55" s="1"/>
      <c r="G55" s="1"/>
      <c r="H55" s="1"/>
      <c r="I55" s="1"/>
      <c r="J55" s="1"/>
      <c r="K55" s="1"/>
      <c r="L55" s="1"/>
      <c r="M55" s="1"/>
      <c r="N55" s="26"/>
      <c r="O55"/>
      <c r="P55"/>
      <c r="Q55"/>
      <c r="R55"/>
      <c r="S55"/>
      <c r="T55"/>
      <c r="U55"/>
      <c r="V55"/>
    </row>
    <row r="56" spans="1:22" s="3" customFormat="1" x14ac:dyDescent="0.25">
      <c r="A56" s="1"/>
      <c r="B56" s="1"/>
      <c r="C56" s="1"/>
      <c r="D56" s="1"/>
      <c r="E56" s="1"/>
      <c r="F56" s="1"/>
      <c r="G56" s="1"/>
      <c r="H56" s="1"/>
      <c r="I56" s="1"/>
      <c r="J56" s="1"/>
      <c r="K56" s="1"/>
      <c r="L56" s="1"/>
      <c r="M56" s="1"/>
      <c r="N56" s="26"/>
      <c r="O56"/>
      <c r="P56"/>
      <c r="Q56"/>
      <c r="R56"/>
      <c r="S56"/>
      <c r="T56"/>
      <c r="U56"/>
      <c r="V56"/>
    </row>
    <row r="57" spans="1:22" s="3" customFormat="1" x14ac:dyDescent="0.25">
      <c r="A57" s="1"/>
      <c r="B57" s="1"/>
      <c r="C57" s="1"/>
      <c r="D57" s="1"/>
      <c r="E57" s="1"/>
      <c r="F57" s="1"/>
      <c r="G57" s="1"/>
      <c r="H57" s="1"/>
      <c r="I57" s="1"/>
      <c r="J57" s="1"/>
      <c r="K57" s="1"/>
      <c r="L57" s="1"/>
      <c r="M57" s="1"/>
      <c r="N57" s="26"/>
      <c r="O57"/>
      <c r="P57"/>
      <c r="Q57"/>
      <c r="R57"/>
      <c r="S57"/>
      <c r="T57"/>
      <c r="U57"/>
      <c r="V57"/>
    </row>
    <row r="58" spans="1:22" s="3" customFormat="1" x14ac:dyDescent="0.25">
      <c r="A58" s="1"/>
      <c r="B58" s="1"/>
      <c r="C58" s="1"/>
      <c r="D58" s="1"/>
      <c r="E58" s="1"/>
      <c r="F58" s="1"/>
      <c r="G58" s="1"/>
      <c r="H58" s="1"/>
      <c r="I58" s="1"/>
      <c r="J58" s="1"/>
      <c r="K58" s="1"/>
      <c r="L58" s="1"/>
      <c r="M58" s="1"/>
      <c r="N58" s="26"/>
      <c r="O58"/>
      <c r="P58"/>
      <c r="Q58"/>
      <c r="R58"/>
      <c r="S58"/>
      <c r="T58"/>
      <c r="U58"/>
      <c r="V58"/>
    </row>
    <row r="59" spans="1:22" s="3" customFormat="1" x14ac:dyDescent="0.25">
      <c r="A59" s="1"/>
      <c r="B59" s="1"/>
      <c r="C59" s="1"/>
      <c r="D59" s="1"/>
      <c r="E59" s="1"/>
      <c r="F59" s="1"/>
      <c r="G59" s="1"/>
      <c r="H59" s="1"/>
      <c r="I59" s="1"/>
      <c r="J59" s="1"/>
      <c r="K59" s="1"/>
      <c r="L59" s="1"/>
      <c r="M59" s="1"/>
      <c r="N59" s="26"/>
      <c r="O59"/>
      <c r="P59"/>
      <c r="Q59"/>
      <c r="R59"/>
      <c r="S59"/>
      <c r="T59"/>
      <c r="U59"/>
      <c r="V59"/>
    </row>
    <row r="60" spans="1:22" s="65" customFormat="1" x14ac:dyDescent="0.25">
      <c r="A60" s="1"/>
      <c r="B60" s="1"/>
      <c r="C60" s="1"/>
      <c r="D60" s="1"/>
      <c r="E60" s="1"/>
      <c r="F60" s="1"/>
      <c r="G60" s="1"/>
      <c r="H60" s="1"/>
      <c r="I60" s="1"/>
      <c r="J60" s="1"/>
      <c r="K60" s="1"/>
      <c r="L60" s="1"/>
      <c r="M60" s="1"/>
      <c r="N60" s="100"/>
      <c r="O60"/>
      <c r="P60"/>
      <c r="Q60"/>
      <c r="R60"/>
      <c r="S60"/>
      <c r="T60"/>
      <c r="U60"/>
      <c r="V60"/>
    </row>
    <row r="61" spans="1:22" s="3" customFormat="1" x14ac:dyDescent="0.25">
      <c r="A61" s="1"/>
      <c r="B61" s="1"/>
      <c r="C61" s="1"/>
      <c r="D61" s="1"/>
      <c r="E61" s="1"/>
      <c r="F61" s="1"/>
      <c r="G61" s="1"/>
      <c r="H61" s="1"/>
      <c r="I61" s="1"/>
      <c r="J61" s="1"/>
      <c r="K61" s="1"/>
      <c r="L61" s="1"/>
      <c r="M61" s="1"/>
      <c r="N61" s="26"/>
      <c r="O61"/>
      <c r="P61"/>
      <c r="Q61"/>
      <c r="R61"/>
      <c r="S61"/>
      <c r="T61"/>
      <c r="U61"/>
      <c r="V61"/>
    </row>
    <row r="62" spans="1:22" s="3" customFormat="1" x14ac:dyDescent="0.25">
      <c r="A62" s="1"/>
      <c r="B62" s="1"/>
      <c r="C62" s="1"/>
      <c r="D62" s="1"/>
      <c r="E62" s="1"/>
      <c r="F62" s="1"/>
      <c r="G62" s="1"/>
      <c r="H62" s="1"/>
      <c r="I62" s="1"/>
      <c r="J62" s="1"/>
      <c r="K62" s="1"/>
      <c r="L62" s="1"/>
      <c r="M62" s="1"/>
      <c r="N62" s="26"/>
      <c r="O62"/>
      <c r="P62"/>
      <c r="Q62"/>
      <c r="R62"/>
      <c r="S62"/>
      <c r="T62"/>
      <c r="U62"/>
      <c r="V62"/>
    </row>
    <row r="63" spans="1:22" s="65" customFormat="1" x14ac:dyDescent="0.25">
      <c r="A63" s="1"/>
      <c r="B63" s="1"/>
      <c r="C63" s="1"/>
      <c r="D63" s="1"/>
      <c r="E63" s="1"/>
      <c r="F63" s="1"/>
      <c r="G63" s="1"/>
      <c r="H63" s="1"/>
      <c r="I63" s="1"/>
      <c r="J63" s="1"/>
      <c r="K63" s="1"/>
      <c r="L63" s="1"/>
      <c r="M63" s="1"/>
      <c r="N63" s="26"/>
      <c r="O63"/>
      <c r="P63"/>
      <c r="Q63"/>
      <c r="R63"/>
      <c r="S63"/>
      <c r="T63"/>
      <c r="U63"/>
      <c r="V63"/>
    </row>
    <row r="64" spans="1:22" s="65" customFormat="1" x14ac:dyDescent="0.25">
      <c r="A64" s="1"/>
      <c r="B64" s="1"/>
      <c r="C64" s="1"/>
      <c r="D64" s="1"/>
      <c r="E64" s="1"/>
      <c r="F64" s="1"/>
      <c r="G64" s="1"/>
      <c r="H64" s="1"/>
      <c r="I64" s="1"/>
      <c r="J64" s="1"/>
      <c r="K64" s="1"/>
      <c r="L64" s="1"/>
      <c r="M64" s="1"/>
      <c r="N64" s="26"/>
      <c r="O64"/>
      <c r="P64"/>
      <c r="Q64"/>
      <c r="R64"/>
      <c r="S64"/>
      <c r="T64"/>
      <c r="U64"/>
      <c r="V64"/>
    </row>
    <row r="65" spans="1:22" s="65" customFormat="1" x14ac:dyDescent="0.25">
      <c r="A65" s="1"/>
      <c r="B65" s="1"/>
      <c r="C65" s="1"/>
      <c r="D65" s="1"/>
      <c r="E65" s="1"/>
      <c r="F65" s="1"/>
      <c r="G65" s="1"/>
      <c r="H65" s="1"/>
      <c r="I65" s="1"/>
      <c r="J65" s="1"/>
      <c r="K65" s="1"/>
      <c r="L65" s="1"/>
      <c r="M65" s="1"/>
      <c r="N65" s="26"/>
      <c r="O65"/>
      <c r="P65"/>
      <c r="Q65"/>
      <c r="R65"/>
      <c r="S65"/>
      <c r="T65"/>
      <c r="U65"/>
      <c r="V65"/>
    </row>
    <row r="66" spans="1:22" s="3" customFormat="1" x14ac:dyDescent="0.25">
      <c r="A66" s="1"/>
      <c r="B66" s="1"/>
      <c r="C66" s="1"/>
      <c r="D66" s="1"/>
      <c r="E66" s="1"/>
      <c r="F66" s="1"/>
      <c r="G66" s="1"/>
      <c r="H66" s="1"/>
      <c r="I66" s="1"/>
      <c r="J66" s="1"/>
      <c r="K66" s="1"/>
      <c r="L66" s="1"/>
      <c r="M66" s="1"/>
      <c r="N66" s="26"/>
      <c r="O66"/>
      <c r="P66"/>
      <c r="Q66"/>
      <c r="R66"/>
      <c r="S66"/>
      <c r="T66"/>
      <c r="U66"/>
      <c r="V66"/>
    </row>
    <row r="67" spans="1:22" s="3" customFormat="1" x14ac:dyDescent="0.25">
      <c r="A67" s="1"/>
      <c r="B67" s="1"/>
      <c r="C67" s="1"/>
      <c r="D67" s="1"/>
      <c r="E67" s="1"/>
      <c r="F67" s="1"/>
      <c r="G67" s="1"/>
      <c r="H67" s="1"/>
      <c r="I67" s="1"/>
      <c r="J67" s="1"/>
      <c r="K67" s="1"/>
      <c r="L67" s="1"/>
      <c r="M67" s="1"/>
      <c r="N67" s="26"/>
      <c r="O67"/>
      <c r="P67"/>
      <c r="Q67"/>
      <c r="R67"/>
      <c r="S67"/>
      <c r="T67"/>
      <c r="U67"/>
      <c r="V67"/>
    </row>
    <row r="68" spans="1:22" s="65" customFormat="1" x14ac:dyDescent="0.25">
      <c r="A68" s="1"/>
      <c r="B68" s="1"/>
      <c r="C68" s="1"/>
      <c r="D68" s="1"/>
      <c r="E68" s="1"/>
      <c r="F68" s="1"/>
      <c r="G68" s="1"/>
      <c r="H68" s="1"/>
      <c r="I68" s="1"/>
      <c r="J68" s="1"/>
      <c r="K68" s="1"/>
      <c r="L68" s="1"/>
      <c r="M68" s="1"/>
      <c r="N68" s="26"/>
      <c r="O68"/>
      <c r="P68"/>
      <c r="Q68"/>
      <c r="R68"/>
      <c r="S68"/>
      <c r="T68"/>
      <c r="U68"/>
      <c r="V68"/>
    </row>
    <row r="69" spans="1:22" s="3" customFormat="1" x14ac:dyDescent="0.25">
      <c r="A69" s="1"/>
      <c r="B69" s="1"/>
      <c r="C69" s="1"/>
      <c r="D69" s="1"/>
      <c r="E69" s="1"/>
      <c r="F69" s="1"/>
      <c r="G69" s="1"/>
      <c r="H69" s="1"/>
      <c r="I69" s="1"/>
      <c r="J69" s="1"/>
      <c r="K69" s="1"/>
      <c r="L69" s="1"/>
      <c r="M69" s="1"/>
      <c r="N69" s="100"/>
      <c r="O69"/>
      <c r="P69"/>
      <c r="Q69"/>
      <c r="R69"/>
      <c r="S69"/>
      <c r="T69"/>
      <c r="U69"/>
      <c r="V69"/>
    </row>
    <row r="70" spans="1:22" s="3" customFormat="1" x14ac:dyDescent="0.25">
      <c r="A70" s="1"/>
      <c r="B70" s="1"/>
      <c r="C70" s="1"/>
      <c r="D70" s="1"/>
      <c r="E70" s="1"/>
      <c r="F70" s="1"/>
      <c r="G70" s="1"/>
      <c r="H70" s="1"/>
      <c r="I70" s="1"/>
      <c r="J70" s="1"/>
      <c r="K70" s="1"/>
      <c r="L70" s="1"/>
      <c r="M70" s="1"/>
      <c r="N70" s="100"/>
      <c r="O70"/>
      <c r="P70"/>
      <c r="Q70"/>
      <c r="R70"/>
      <c r="S70"/>
      <c r="T70"/>
      <c r="U70"/>
      <c r="V70"/>
    </row>
    <row r="71" spans="1:22" s="3" customFormat="1" x14ac:dyDescent="0.25">
      <c r="A71" s="1"/>
      <c r="B71" s="1"/>
      <c r="C71" s="1"/>
      <c r="D71" s="1"/>
      <c r="E71" s="1"/>
      <c r="F71" s="1"/>
      <c r="G71" s="1"/>
      <c r="H71" s="1"/>
      <c r="I71" s="1"/>
      <c r="J71" s="1"/>
      <c r="K71" s="1"/>
      <c r="L71" s="1"/>
      <c r="M71" s="1"/>
      <c r="N71" s="26"/>
      <c r="O71"/>
      <c r="P71"/>
      <c r="Q71"/>
      <c r="R71"/>
      <c r="S71"/>
      <c r="T71"/>
      <c r="U71"/>
      <c r="V71"/>
    </row>
    <row r="72" spans="1:22" s="3" customFormat="1" x14ac:dyDescent="0.25">
      <c r="A72" s="1"/>
      <c r="B72" s="1"/>
      <c r="C72" s="1"/>
      <c r="D72" s="1"/>
      <c r="E72" s="1"/>
      <c r="F72" s="1"/>
      <c r="G72" s="1"/>
      <c r="H72" s="1"/>
      <c r="I72" s="1"/>
      <c r="J72" s="1"/>
      <c r="K72" s="1"/>
      <c r="L72" s="1"/>
      <c r="M72" s="1"/>
      <c r="N72" s="26"/>
      <c r="O72"/>
      <c r="P72"/>
      <c r="Q72"/>
      <c r="R72"/>
      <c r="S72"/>
      <c r="T72"/>
      <c r="U72"/>
      <c r="V72"/>
    </row>
    <row r="73" spans="1:22" s="3" customFormat="1" x14ac:dyDescent="0.25">
      <c r="A73" s="1"/>
      <c r="B73" s="1"/>
      <c r="C73" s="1"/>
      <c r="D73" s="1"/>
      <c r="E73" s="1"/>
      <c r="F73" s="1"/>
      <c r="G73" s="1"/>
      <c r="H73" s="1"/>
      <c r="I73" s="1"/>
      <c r="J73" s="1"/>
      <c r="K73" s="1"/>
      <c r="L73" s="1"/>
      <c r="M73" s="1"/>
      <c r="N73" s="26"/>
      <c r="O73"/>
      <c r="P73"/>
      <c r="Q73"/>
      <c r="R73"/>
      <c r="S73"/>
      <c r="T73"/>
      <c r="U73"/>
      <c r="V73"/>
    </row>
    <row r="74" spans="1:22" s="3" customFormat="1" x14ac:dyDescent="0.25">
      <c r="A74" s="1"/>
      <c r="B74" s="1"/>
      <c r="C74" s="1"/>
      <c r="D74" s="1"/>
      <c r="E74" s="1"/>
      <c r="F74" s="1"/>
      <c r="G74" s="1"/>
      <c r="H74" s="1"/>
      <c r="I74" s="1"/>
      <c r="J74" s="1"/>
      <c r="K74" s="1"/>
      <c r="L74" s="1"/>
      <c r="M74" s="1"/>
      <c r="N74" s="26"/>
      <c r="O74"/>
      <c r="P74"/>
      <c r="Q74"/>
      <c r="R74"/>
      <c r="S74"/>
      <c r="T74"/>
      <c r="U74"/>
      <c r="V74"/>
    </row>
    <row r="75" spans="1:22" x14ac:dyDescent="0.25">
      <c r="N75" s="26"/>
    </row>
    <row r="76" spans="1:22" x14ac:dyDescent="0.25">
      <c r="N76" s="26"/>
    </row>
    <row r="77" spans="1:22" x14ac:dyDescent="0.25">
      <c r="N77" s="26"/>
    </row>
    <row r="78" spans="1:22" x14ac:dyDescent="0.25">
      <c r="N78" s="26"/>
    </row>
    <row r="79" spans="1:22" x14ac:dyDescent="0.25">
      <c r="N79" s="26"/>
    </row>
  </sheetData>
  <printOptions gridLines="1"/>
  <pageMargins left="0.23622047244094491" right="0.23622047244094491" top="0.74803149606299213" bottom="0.74803149606299213" header="0.31496062992125984" footer="0.31496062992125984"/>
  <pageSetup paperSize="9" scale="41" fitToHeight="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D5A70F-7037-4605-A6E6-EA6DEA966839}">
  <dimension ref="A1:W20"/>
  <sheetViews>
    <sheetView view="pageBreakPreview" zoomScaleNormal="115" zoomScaleSheetLayoutView="100" workbookViewId="0"/>
  </sheetViews>
  <sheetFormatPr defaultColWidth="9.140625" defaultRowHeight="15" x14ac:dyDescent="0.25"/>
  <cols>
    <col min="1" max="1" width="5.28515625" style="76" customWidth="1"/>
    <col min="2" max="2" width="6.7109375" style="76" customWidth="1"/>
    <col min="3" max="3" width="5.42578125" style="76" customWidth="1"/>
    <col min="4" max="4" width="9.140625" style="76"/>
    <col min="5" max="5" width="11.5703125" style="76" customWidth="1"/>
    <col min="6" max="6" width="7.28515625" style="76" customWidth="1"/>
    <col min="7" max="7" width="5.85546875" style="76" customWidth="1"/>
    <col min="8" max="8" width="6.28515625" style="76" customWidth="1"/>
    <col min="9" max="9" width="6.85546875" style="76" customWidth="1"/>
    <col min="10" max="10" width="7.140625" style="76" customWidth="1"/>
    <col min="11" max="11" width="6.42578125" style="76" customWidth="1"/>
    <col min="12" max="12" width="25.28515625" style="76" customWidth="1"/>
    <col min="13" max="13" width="28" style="76" customWidth="1"/>
    <col min="14" max="14" width="30.5703125" style="76" customWidth="1"/>
    <col min="15" max="22" width="8.7109375" customWidth="1"/>
    <col min="24" max="16384" width="9.140625" style="76"/>
  </cols>
  <sheetData>
    <row r="1" spans="1:23" s="24" customFormat="1" x14ac:dyDescent="0.25">
      <c r="A1" s="138" t="s">
        <v>1318</v>
      </c>
      <c r="B1" s="23"/>
      <c r="E1" s="1"/>
      <c r="O1"/>
      <c r="P1"/>
      <c r="Q1"/>
      <c r="R1"/>
      <c r="S1"/>
      <c r="T1"/>
      <c r="U1"/>
      <c r="V1"/>
      <c r="W1"/>
    </row>
    <row r="2" spans="1:23" s="24" customFormat="1" x14ac:dyDescent="0.25">
      <c r="A2" s="23" t="s">
        <v>52</v>
      </c>
      <c r="B2" s="23"/>
      <c r="E2" s="1"/>
      <c r="O2"/>
      <c r="P2"/>
      <c r="Q2"/>
      <c r="R2"/>
      <c r="S2"/>
      <c r="T2"/>
      <c r="U2"/>
      <c r="V2"/>
      <c r="W2"/>
    </row>
    <row r="3" spans="1:23" s="24" customFormat="1" x14ac:dyDescent="0.25">
      <c r="A3" s="23" t="s">
        <v>1260</v>
      </c>
      <c r="B3" s="23"/>
      <c r="E3" s="1"/>
      <c r="O3"/>
      <c r="P3"/>
      <c r="Q3"/>
      <c r="R3"/>
      <c r="S3"/>
      <c r="T3"/>
      <c r="U3"/>
      <c r="V3"/>
      <c r="W3"/>
    </row>
    <row r="4" spans="1:23" s="10" customFormat="1" ht="45" x14ac:dyDescent="0.25">
      <c r="A4" s="10" t="s">
        <v>0</v>
      </c>
      <c r="B4" s="10" t="s">
        <v>1</v>
      </c>
      <c r="C4" s="10" t="s">
        <v>2</v>
      </c>
      <c r="D4" s="10" t="s">
        <v>3</v>
      </c>
      <c r="E4" s="10" t="s">
        <v>4</v>
      </c>
      <c r="F4" s="10" t="s">
        <v>6</v>
      </c>
      <c r="G4" s="25" t="s">
        <v>7</v>
      </c>
      <c r="H4" s="25" t="s">
        <v>8</v>
      </c>
      <c r="I4" s="10" t="s">
        <v>9</v>
      </c>
      <c r="J4" s="10" t="s">
        <v>10</v>
      </c>
      <c r="K4" s="25" t="s">
        <v>53</v>
      </c>
      <c r="L4" s="25" t="s">
        <v>54</v>
      </c>
      <c r="M4" s="10" t="s">
        <v>13</v>
      </c>
      <c r="N4" s="99"/>
      <c r="O4"/>
      <c r="P4"/>
      <c r="Q4"/>
      <c r="R4"/>
      <c r="S4"/>
      <c r="T4"/>
      <c r="U4"/>
      <c r="V4"/>
      <c r="W4"/>
    </row>
    <row r="5" spans="1:23" s="82" customFormat="1" ht="22.5" x14ac:dyDescent="0.25">
      <c r="A5" s="26" t="s">
        <v>55</v>
      </c>
      <c r="B5" s="26">
        <v>3.2</v>
      </c>
      <c r="C5" s="26" t="s">
        <v>240</v>
      </c>
      <c r="D5" s="26" t="s">
        <v>197</v>
      </c>
      <c r="E5" s="26" t="s">
        <v>198</v>
      </c>
      <c r="F5" s="27" t="s">
        <v>75</v>
      </c>
      <c r="G5" s="155">
        <v>8.4320000000000004</v>
      </c>
      <c r="H5" s="156">
        <v>1</v>
      </c>
      <c r="I5" s="156">
        <v>1</v>
      </c>
      <c r="J5" s="158">
        <f>365/7</f>
        <v>52.142857142857146</v>
      </c>
      <c r="K5" s="155">
        <f t="shared" ref="K5:K15" si="0">G5*I5/J5</f>
        <v>0.16170958904109589</v>
      </c>
      <c r="L5" s="26" t="s">
        <v>199</v>
      </c>
      <c r="M5" s="19" t="s">
        <v>200</v>
      </c>
      <c r="N5" s="104"/>
      <c r="O5"/>
      <c r="P5"/>
      <c r="Q5"/>
      <c r="R5"/>
      <c r="S5"/>
      <c r="T5"/>
      <c r="U5"/>
      <c r="V5"/>
      <c r="W5"/>
    </row>
    <row r="6" spans="1:23" s="82" customFormat="1" ht="26.25" customHeight="1" x14ac:dyDescent="0.25">
      <c r="A6" s="26" t="s">
        <v>55</v>
      </c>
      <c r="B6" s="26">
        <v>3.2</v>
      </c>
      <c r="C6" s="26" t="s">
        <v>240</v>
      </c>
      <c r="D6" s="26" t="s">
        <v>197</v>
      </c>
      <c r="E6" s="26" t="s">
        <v>195</v>
      </c>
      <c r="F6" s="27" t="s">
        <v>201</v>
      </c>
      <c r="G6" s="155">
        <v>69.564000000000007</v>
      </c>
      <c r="H6" s="156">
        <v>1</v>
      </c>
      <c r="I6" s="156">
        <v>1</v>
      </c>
      <c r="J6" s="158">
        <f>365/7*4</f>
        <v>208.57142857142858</v>
      </c>
      <c r="K6" s="155">
        <f t="shared" si="0"/>
        <v>0.33352602739726028</v>
      </c>
      <c r="L6" s="26" t="s">
        <v>202</v>
      </c>
      <c r="M6" s="1" t="s">
        <v>203</v>
      </c>
      <c r="N6" s="1"/>
      <c r="O6"/>
      <c r="P6"/>
      <c r="Q6"/>
      <c r="R6"/>
      <c r="S6"/>
      <c r="T6"/>
      <c r="U6"/>
      <c r="V6"/>
      <c r="W6"/>
    </row>
    <row r="7" spans="1:23" s="82" customFormat="1" ht="24.75" customHeight="1" x14ac:dyDescent="0.25">
      <c r="A7" s="26" t="s">
        <v>55</v>
      </c>
      <c r="B7" s="26">
        <v>3.2</v>
      </c>
      <c r="C7" s="26" t="s">
        <v>240</v>
      </c>
      <c r="D7" s="26" t="s">
        <v>197</v>
      </c>
      <c r="E7" s="26" t="s">
        <v>191</v>
      </c>
      <c r="F7" s="27" t="s">
        <v>201</v>
      </c>
      <c r="G7" s="155">
        <v>59.024000000000001</v>
      </c>
      <c r="H7" s="156">
        <v>1</v>
      </c>
      <c r="I7" s="156">
        <v>1</v>
      </c>
      <c r="J7" s="158">
        <f>365/7*4</f>
        <v>208.57142857142858</v>
      </c>
      <c r="K7" s="155">
        <f t="shared" si="0"/>
        <v>0.28299178082191778</v>
      </c>
      <c r="L7" s="26" t="s">
        <v>204</v>
      </c>
      <c r="M7" s="1" t="s">
        <v>205</v>
      </c>
      <c r="N7" s="1"/>
      <c r="O7"/>
      <c r="P7"/>
      <c r="Q7"/>
      <c r="R7"/>
      <c r="S7"/>
      <c r="T7"/>
      <c r="U7"/>
      <c r="V7"/>
      <c r="W7"/>
    </row>
    <row r="8" spans="1:23" s="82" customFormat="1" ht="47.25" customHeight="1" x14ac:dyDescent="0.25">
      <c r="A8" s="26" t="s">
        <v>55</v>
      </c>
      <c r="B8" s="26">
        <v>3.2</v>
      </c>
      <c r="C8" s="26" t="s">
        <v>240</v>
      </c>
      <c r="D8" s="26" t="s">
        <v>197</v>
      </c>
      <c r="E8" s="26" t="s">
        <v>191</v>
      </c>
      <c r="F8" s="27" t="s">
        <v>201</v>
      </c>
      <c r="G8" s="155">
        <v>47.43</v>
      </c>
      <c r="H8" s="156">
        <v>1</v>
      </c>
      <c r="I8" s="156">
        <v>1</v>
      </c>
      <c r="J8" s="158">
        <f>365/7*4</f>
        <v>208.57142857142858</v>
      </c>
      <c r="K8" s="155">
        <f t="shared" si="0"/>
        <v>0.22740410958904109</v>
      </c>
      <c r="L8" s="26" t="s">
        <v>206</v>
      </c>
      <c r="M8" s="1" t="s">
        <v>207</v>
      </c>
      <c r="N8" s="1"/>
      <c r="O8"/>
      <c r="P8"/>
      <c r="Q8"/>
      <c r="R8"/>
      <c r="S8"/>
      <c r="T8"/>
      <c r="U8"/>
      <c r="V8"/>
      <c r="W8"/>
    </row>
    <row r="9" spans="1:23" s="82" customFormat="1" ht="26.25" customHeight="1" x14ac:dyDescent="0.25">
      <c r="A9" s="26" t="s">
        <v>55</v>
      </c>
      <c r="B9" s="26">
        <v>3.2</v>
      </c>
      <c r="C9" s="26" t="s">
        <v>240</v>
      </c>
      <c r="D9" s="26" t="s">
        <v>197</v>
      </c>
      <c r="E9" s="26" t="s">
        <v>192</v>
      </c>
      <c r="F9" s="27" t="s">
        <v>75</v>
      </c>
      <c r="G9" s="155">
        <v>14.756</v>
      </c>
      <c r="H9" s="156">
        <v>1</v>
      </c>
      <c r="I9" s="156">
        <v>1</v>
      </c>
      <c r="J9" s="158">
        <f>365/7*2</f>
        <v>104.28571428571429</v>
      </c>
      <c r="K9" s="155">
        <f t="shared" si="0"/>
        <v>0.14149589041095889</v>
      </c>
      <c r="L9" s="26" t="s">
        <v>1314</v>
      </c>
      <c r="M9" s="19" t="s">
        <v>208</v>
      </c>
      <c r="N9" s="1"/>
      <c r="O9"/>
      <c r="P9"/>
      <c r="Q9"/>
      <c r="R9"/>
      <c r="S9"/>
      <c r="T9"/>
      <c r="U9"/>
      <c r="V9"/>
      <c r="W9"/>
    </row>
    <row r="10" spans="1:23" s="82" customFormat="1" x14ac:dyDescent="0.25">
      <c r="A10" s="26" t="s">
        <v>55</v>
      </c>
      <c r="B10" s="26">
        <v>3.2</v>
      </c>
      <c r="C10" s="26" t="s">
        <v>240</v>
      </c>
      <c r="D10" s="26" t="s">
        <v>197</v>
      </c>
      <c r="E10" s="26" t="s">
        <v>196</v>
      </c>
      <c r="F10" s="27" t="s">
        <v>75</v>
      </c>
      <c r="G10" s="155">
        <v>8.4320000000000004</v>
      </c>
      <c r="H10" s="156">
        <v>1</v>
      </c>
      <c r="I10" s="156">
        <v>1</v>
      </c>
      <c r="J10" s="158">
        <f>365/7</f>
        <v>52.142857142857146</v>
      </c>
      <c r="K10" s="155">
        <f t="shared" si="0"/>
        <v>0.16170958904109589</v>
      </c>
      <c r="L10" s="26" t="s">
        <v>209</v>
      </c>
      <c r="M10" s="1" t="s">
        <v>210</v>
      </c>
      <c r="N10" s="1"/>
      <c r="O10"/>
      <c r="P10"/>
      <c r="Q10"/>
      <c r="R10"/>
      <c r="S10"/>
      <c r="T10"/>
      <c r="U10"/>
      <c r="V10"/>
      <c r="W10"/>
    </row>
    <row r="11" spans="1:23" s="82" customFormat="1" ht="26.25" customHeight="1" x14ac:dyDescent="0.25">
      <c r="A11" s="26" t="s">
        <v>55</v>
      </c>
      <c r="B11" s="26">
        <v>3.2</v>
      </c>
      <c r="C11" s="26" t="s">
        <v>240</v>
      </c>
      <c r="D11" s="26" t="s">
        <v>197</v>
      </c>
      <c r="E11" s="26" t="s">
        <v>211</v>
      </c>
      <c r="F11" s="27" t="s">
        <v>201</v>
      </c>
      <c r="G11" s="155">
        <v>59.024000000000001</v>
      </c>
      <c r="H11" s="156">
        <v>1</v>
      </c>
      <c r="I11" s="156">
        <v>1</v>
      </c>
      <c r="J11" s="158">
        <f>365/7*2</f>
        <v>104.28571428571429</v>
      </c>
      <c r="K11" s="155">
        <f t="shared" si="0"/>
        <v>0.56598356164383556</v>
      </c>
      <c r="L11" s="26" t="s">
        <v>212</v>
      </c>
      <c r="M11" s="26" t="s">
        <v>213</v>
      </c>
      <c r="N11" s="1"/>
      <c r="O11"/>
      <c r="P11"/>
      <c r="Q11"/>
      <c r="R11"/>
      <c r="S11"/>
      <c r="T11"/>
      <c r="U11"/>
      <c r="V11"/>
      <c r="W11"/>
    </row>
    <row r="12" spans="1:23" s="82" customFormat="1" ht="22.5" x14ac:dyDescent="0.25">
      <c r="A12" s="26" t="s">
        <v>55</v>
      </c>
      <c r="B12" s="26">
        <v>3.2</v>
      </c>
      <c r="C12" s="26" t="s">
        <v>240</v>
      </c>
      <c r="D12" s="26" t="s">
        <v>197</v>
      </c>
      <c r="E12" s="26" t="s">
        <v>193</v>
      </c>
      <c r="F12" s="27" t="s">
        <v>75</v>
      </c>
      <c r="G12" s="155">
        <v>16.864000000000001</v>
      </c>
      <c r="H12" s="156">
        <v>1</v>
      </c>
      <c r="I12" s="156">
        <v>1</v>
      </c>
      <c r="J12" s="158">
        <f>365/7*5</f>
        <v>260.71428571428572</v>
      </c>
      <c r="K12" s="155">
        <f t="shared" si="0"/>
        <v>6.4683835616438354E-2</v>
      </c>
      <c r="L12" s="26" t="s">
        <v>214</v>
      </c>
      <c r="M12" s="1" t="s">
        <v>215</v>
      </c>
      <c r="N12" s="1"/>
      <c r="O12"/>
      <c r="P12"/>
      <c r="Q12"/>
      <c r="R12"/>
      <c r="S12"/>
      <c r="T12"/>
      <c r="U12"/>
      <c r="V12"/>
      <c r="W12"/>
    </row>
    <row r="13" spans="1:23" s="82" customFormat="1" ht="25.5" customHeight="1" x14ac:dyDescent="0.25">
      <c r="A13" s="26" t="s">
        <v>55</v>
      </c>
      <c r="B13" s="26">
        <v>3.2</v>
      </c>
      <c r="C13" s="26" t="s">
        <v>240</v>
      </c>
      <c r="D13" s="26" t="s">
        <v>197</v>
      </c>
      <c r="E13" s="26" t="s">
        <v>216</v>
      </c>
      <c r="F13" s="27" t="s">
        <v>201</v>
      </c>
      <c r="G13" s="155">
        <v>168.64000000000001</v>
      </c>
      <c r="H13" s="156">
        <v>1</v>
      </c>
      <c r="I13" s="156">
        <v>1</v>
      </c>
      <c r="J13" s="158">
        <f>365/7*4</f>
        <v>208.57142857142858</v>
      </c>
      <c r="K13" s="155">
        <f t="shared" si="0"/>
        <v>0.80854794520547946</v>
      </c>
      <c r="L13" s="26" t="s">
        <v>217</v>
      </c>
      <c r="M13" s="1" t="s">
        <v>218</v>
      </c>
      <c r="N13" s="1"/>
      <c r="O13"/>
      <c r="P13"/>
      <c r="Q13"/>
      <c r="R13"/>
      <c r="S13"/>
      <c r="T13"/>
      <c r="U13"/>
      <c r="V13"/>
      <c r="W13"/>
    </row>
    <row r="14" spans="1:23" s="82" customFormat="1" ht="22.5" x14ac:dyDescent="0.25">
      <c r="A14" s="26" t="s">
        <v>55</v>
      </c>
      <c r="B14" s="26">
        <v>3.2</v>
      </c>
      <c r="C14" s="26" t="s">
        <v>240</v>
      </c>
      <c r="D14" s="26" t="s">
        <v>197</v>
      </c>
      <c r="E14" s="26" t="s">
        <v>219</v>
      </c>
      <c r="F14" s="27" t="s">
        <v>201</v>
      </c>
      <c r="G14" s="155">
        <v>89.59</v>
      </c>
      <c r="H14" s="156">
        <v>1</v>
      </c>
      <c r="I14" s="156">
        <v>1</v>
      </c>
      <c r="J14" s="158">
        <f>365/7*4</f>
        <v>208.57142857142858</v>
      </c>
      <c r="K14" s="155">
        <f t="shared" si="0"/>
        <v>0.42954109589041095</v>
      </c>
      <c r="L14" s="26" t="s">
        <v>220</v>
      </c>
      <c r="M14" s="1" t="s">
        <v>221</v>
      </c>
      <c r="N14" s="1"/>
      <c r="O14"/>
      <c r="P14"/>
      <c r="Q14"/>
      <c r="R14"/>
      <c r="S14"/>
      <c r="T14"/>
      <c r="U14"/>
      <c r="V14"/>
      <c r="W14"/>
    </row>
    <row r="15" spans="1:23" s="3" customFormat="1" ht="26.25" customHeight="1" x14ac:dyDescent="0.25">
      <c r="A15" s="26" t="s">
        <v>55</v>
      </c>
      <c r="B15" s="26">
        <v>3.2</v>
      </c>
      <c r="C15" s="26" t="s">
        <v>240</v>
      </c>
      <c r="D15" s="26" t="s">
        <v>197</v>
      </c>
      <c r="E15" s="26" t="s">
        <v>194</v>
      </c>
      <c r="F15" s="27" t="s">
        <v>222</v>
      </c>
      <c r="G15" s="155">
        <v>52.7</v>
      </c>
      <c r="H15" s="156">
        <v>1</v>
      </c>
      <c r="I15" s="156">
        <v>1</v>
      </c>
      <c r="J15" s="158">
        <f>365/7*10</f>
        <v>521.42857142857144</v>
      </c>
      <c r="K15" s="155">
        <f t="shared" si="0"/>
        <v>0.10106849315068493</v>
      </c>
      <c r="L15" s="26" t="s">
        <v>223</v>
      </c>
      <c r="M15" s="1" t="s">
        <v>224</v>
      </c>
      <c r="N15" s="1"/>
      <c r="O15"/>
      <c r="P15"/>
      <c r="Q15"/>
      <c r="R15"/>
      <c r="S15"/>
      <c r="T15"/>
      <c r="U15"/>
      <c r="V15"/>
      <c r="W15"/>
    </row>
    <row r="16" spans="1:23" s="3" customFormat="1" x14ac:dyDescent="0.25">
      <c r="A16" s="26"/>
      <c r="B16" s="26"/>
      <c r="C16" s="26"/>
      <c r="D16" s="26"/>
      <c r="E16" s="26"/>
      <c r="F16" s="27"/>
      <c r="G16" s="27"/>
      <c r="H16" s="26"/>
      <c r="I16" s="26"/>
      <c r="J16" s="27"/>
      <c r="K16" s="27"/>
      <c r="L16" s="26"/>
      <c r="M16" s="26"/>
      <c r="N16" s="1"/>
      <c r="O16"/>
      <c r="P16"/>
      <c r="Q16"/>
      <c r="R16"/>
      <c r="S16"/>
      <c r="T16"/>
      <c r="U16"/>
      <c r="V16"/>
      <c r="W16"/>
    </row>
    <row r="17" spans="1:23" s="3" customFormat="1" x14ac:dyDescent="0.25">
      <c r="A17" s="26"/>
      <c r="B17" s="26"/>
      <c r="C17" s="26"/>
      <c r="D17" s="38" t="s">
        <v>1313</v>
      </c>
      <c r="E17" s="27">
        <f>SUM(K5:K15)</f>
        <v>3.2786619178082193</v>
      </c>
      <c r="F17" s="27"/>
      <c r="G17" s="27"/>
      <c r="H17" s="26"/>
      <c r="I17" s="26"/>
      <c r="J17" s="27"/>
      <c r="K17" s="27"/>
      <c r="L17" s="26"/>
      <c r="M17" s="1"/>
      <c r="N17" s="1"/>
      <c r="O17"/>
      <c r="P17"/>
      <c r="Q17"/>
      <c r="R17"/>
      <c r="S17"/>
      <c r="T17"/>
      <c r="U17"/>
      <c r="V17"/>
      <c r="W17"/>
    </row>
    <row r="18" spans="1:23" s="3" customFormat="1" x14ac:dyDescent="0.25">
      <c r="A18" s="26"/>
      <c r="B18" s="26"/>
      <c r="C18" s="26"/>
      <c r="D18" s="26"/>
      <c r="E18" s="26"/>
      <c r="F18" s="27"/>
      <c r="G18" s="27"/>
      <c r="H18" s="26"/>
      <c r="I18" s="26"/>
      <c r="J18" s="27"/>
      <c r="K18" s="27"/>
      <c r="L18" s="26"/>
      <c r="M18" s="26"/>
      <c r="N18" s="1"/>
      <c r="O18"/>
      <c r="P18"/>
      <c r="Q18"/>
      <c r="R18"/>
      <c r="S18"/>
      <c r="T18"/>
      <c r="U18"/>
      <c r="V18"/>
      <c r="W18"/>
    </row>
    <row r="19" spans="1:23" s="3" customFormat="1" x14ac:dyDescent="0.25">
      <c r="A19" s="26"/>
      <c r="B19" s="26"/>
      <c r="C19" s="26"/>
      <c r="D19" s="26"/>
      <c r="E19" s="26"/>
      <c r="F19" s="27"/>
      <c r="G19" s="27"/>
      <c r="H19" s="26"/>
      <c r="I19" s="26"/>
      <c r="J19" s="27"/>
      <c r="K19" s="27"/>
      <c r="L19" s="26"/>
      <c r="M19" s="1"/>
      <c r="N19" s="1"/>
      <c r="O19"/>
      <c r="P19"/>
      <c r="Q19"/>
      <c r="R19"/>
      <c r="S19"/>
      <c r="T19"/>
      <c r="U19"/>
      <c r="V19"/>
      <c r="W19"/>
    </row>
    <row r="20" spans="1:23" s="3" customFormat="1" x14ac:dyDescent="0.25">
      <c r="A20" s="26"/>
      <c r="B20" s="26"/>
      <c r="C20" s="26"/>
      <c r="D20" s="26"/>
      <c r="E20" s="26"/>
      <c r="F20" s="27"/>
      <c r="G20" s="27"/>
      <c r="H20" s="26"/>
      <c r="I20" s="26"/>
      <c r="J20" s="27"/>
      <c r="K20" s="27"/>
      <c r="L20" s="26"/>
      <c r="M20" s="1"/>
      <c r="N20" s="1"/>
      <c r="O20"/>
      <c r="P20"/>
      <c r="Q20"/>
      <c r="R20"/>
      <c r="S20"/>
      <c r="T20"/>
      <c r="U20"/>
      <c r="V20"/>
      <c r="W20"/>
    </row>
  </sheetData>
  <printOptions gridLines="1"/>
  <pageMargins left="0.7" right="0.7" top="0.75" bottom="0.75" header="0.3" footer="0.3"/>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FB82E1-61F1-42C0-AB40-D4699D69E2A5}">
  <dimension ref="A1:U23"/>
  <sheetViews>
    <sheetView view="pageBreakPreview" zoomScale="115" zoomScaleNormal="115" zoomScaleSheetLayoutView="115" workbookViewId="0"/>
  </sheetViews>
  <sheetFormatPr defaultColWidth="8.7109375" defaultRowHeight="15" x14ac:dyDescent="0.25"/>
  <cols>
    <col min="1" max="1" width="5.42578125" style="2" customWidth="1"/>
    <col min="2" max="2" width="6.5703125" style="2" customWidth="1"/>
    <col min="3" max="3" width="6.28515625" style="2" customWidth="1"/>
    <col min="4" max="4" width="19.5703125" style="2" customWidth="1"/>
    <col min="5" max="5" width="12.7109375" style="2" customWidth="1"/>
    <col min="6" max="6" width="6.42578125" style="4" customWidth="1"/>
    <col min="7" max="7" width="7.5703125" style="4" customWidth="1"/>
    <col min="8" max="8" width="7.85546875" style="4" customWidth="1"/>
    <col min="9" max="9" width="6.7109375" style="4" customWidth="1"/>
    <col min="10" max="10" width="23.7109375" style="2" customWidth="1"/>
    <col min="11" max="11" width="23.140625" style="2" customWidth="1"/>
    <col min="22" max="16384" width="8.7109375" style="2"/>
  </cols>
  <sheetData>
    <row r="1" spans="1:21" x14ac:dyDescent="0.25">
      <c r="A1" s="138" t="s">
        <v>1318</v>
      </c>
      <c r="B1" s="67"/>
      <c r="C1" s="68"/>
    </row>
    <row r="2" spans="1:21" x14ac:dyDescent="0.25">
      <c r="A2" s="67" t="s">
        <v>225</v>
      </c>
      <c r="B2" s="67"/>
      <c r="C2" s="68"/>
    </row>
    <row r="3" spans="1:21" x14ac:dyDescent="0.25">
      <c r="A3" s="67" t="s">
        <v>1260</v>
      </c>
      <c r="B3" s="67"/>
      <c r="C3" s="68"/>
    </row>
    <row r="4" spans="1:21" ht="22.5" x14ac:dyDescent="0.25">
      <c r="A4" s="69" t="s">
        <v>0</v>
      </c>
      <c r="B4" s="69" t="s">
        <v>1</v>
      </c>
      <c r="C4" s="69" t="s">
        <v>2</v>
      </c>
      <c r="D4" s="10" t="s">
        <v>3</v>
      </c>
      <c r="E4" s="10" t="s">
        <v>4</v>
      </c>
      <c r="F4" s="13" t="s">
        <v>7</v>
      </c>
      <c r="G4" s="12" t="s">
        <v>9</v>
      </c>
      <c r="H4" s="12" t="s">
        <v>10</v>
      </c>
      <c r="I4" s="13" t="s">
        <v>53</v>
      </c>
      <c r="J4" s="25" t="s">
        <v>12</v>
      </c>
      <c r="K4" s="10" t="s">
        <v>13</v>
      </c>
    </row>
    <row r="5" spans="1:21" s="73" customFormat="1" ht="25.5" customHeight="1" x14ac:dyDescent="0.25">
      <c r="A5" s="70" t="s">
        <v>226</v>
      </c>
      <c r="B5" s="71">
        <v>4.3</v>
      </c>
      <c r="C5" s="5" t="s">
        <v>240</v>
      </c>
      <c r="D5" s="72" t="s">
        <v>227</v>
      </c>
      <c r="E5" s="73" t="s">
        <v>227</v>
      </c>
      <c r="F5" s="72">
        <v>420.2714285714286</v>
      </c>
      <c r="G5" s="161">
        <v>1</v>
      </c>
      <c r="H5" s="163">
        <f>365/7</f>
        <v>52.142857142857146</v>
      </c>
      <c r="I5" s="155">
        <f>G5*F5/H5</f>
        <v>8.06</v>
      </c>
      <c r="J5" s="72"/>
      <c r="K5" s="72"/>
      <c r="L5"/>
      <c r="M5"/>
      <c r="N5"/>
      <c r="O5"/>
      <c r="P5"/>
      <c r="Q5"/>
      <c r="R5"/>
      <c r="S5"/>
      <c r="T5"/>
      <c r="U5"/>
    </row>
    <row r="6" spans="1:21" ht="30.75" customHeight="1" x14ac:dyDescent="0.25">
      <c r="A6" s="70" t="s">
        <v>228</v>
      </c>
      <c r="B6" s="71" t="s">
        <v>229</v>
      </c>
      <c r="C6" s="5" t="s">
        <v>240</v>
      </c>
      <c r="D6" s="72" t="s">
        <v>230</v>
      </c>
      <c r="E6" s="73" t="s">
        <v>230</v>
      </c>
      <c r="F6" s="160">
        <v>1078.3142857142857</v>
      </c>
      <c r="G6" s="161">
        <v>1</v>
      </c>
      <c r="H6" s="163">
        <f>365/7</f>
        <v>52.142857142857146</v>
      </c>
      <c r="I6" s="155">
        <f>G6*F6/H6</f>
        <v>20.68</v>
      </c>
      <c r="J6" s="72"/>
    </row>
    <row r="7" spans="1:21" ht="22.5" x14ac:dyDescent="0.25">
      <c r="A7" s="70" t="s">
        <v>231</v>
      </c>
      <c r="B7" s="71">
        <v>12.5</v>
      </c>
      <c r="C7" s="5" t="s">
        <v>240</v>
      </c>
      <c r="D7" s="72" t="s">
        <v>232</v>
      </c>
      <c r="E7" s="73" t="s">
        <v>233</v>
      </c>
      <c r="F7" s="160">
        <v>7.5353773584905666</v>
      </c>
      <c r="G7" s="161">
        <v>1</v>
      </c>
      <c r="H7" s="163">
        <f>365/84</f>
        <v>4.3452380952380949</v>
      </c>
      <c r="I7" s="155">
        <f>G7*F7/H7</f>
        <v>1.7341690359265962</v>
      </c>
      <c r="J7" s="72" t="s">
        <v>241</v>
      </c>
      <c r="K7" s="72" t="s">
        <v>242</v>
      </c>
    </row>
    <row r="8" spans="1:21" x14ac:dyDescent="0.25">
      <c r="A8" s="70" t="s">
        <v>234</v>
      </c>
      <c r="B8" s="71">
        <v>4.5</v>
      </c>
      <c r="C8" s="5" t="s">
        <v>240</v>
      </c>
      <c r="D8" s="72" t="s">
        <v>235</v>
      </c>
      <c r="E8" s="73"/>
      <c r="F8" s="72">
        <v>1708.7214285714288</v>
      </c>
      <c r="G8" s="161">
        <v>1</v>
      </c>
      <c r="H8" s="163">
        <f>365/7</f>
        <v>52.142857142857146</v>
      </c>
      <c r="I8" s="155">
        <f>G8*F8/H8</f>
        <v>32.770000000000003</v>
      </c>
      <c r="J8" s="72"/>
      <c r="K8" s="72"/>
    </row>
    <row r="9" spans="1:21" ht="67.5" x14ac:dyDescent="0.25">
      <c r="A9" s="22" t="s">
        <v>236</v>
      </c>
      <c r="B9" s="74">
        <v>4.3</v>
      </c>
      <c r="C9" s="5" t="s">
        <v>240</v>
      </c>
      <c r="D9" s="22" t="s">
        <v>237</v>
      </c>
      <c r="E9" s="75" t="s">
        <v>238</v>
      </c>
      <c r="F9" s="155">
        <v>105.04050405040506</v>
      </c>
      <c r="G9" s="156">
        <v>1</v>
      </c>
      <c r="H9" s="163">
        <f>365/7</f>
        <v>52.142857142857146</v>
      </c>
      <c r="I9" s="155">
        <f>G9*F9/H9</f>
        <v>2.0144754201447546</v>
      </c>
      <c r="J9" s="72" t="s">
        <v>239</v>
      </c>
      <c r="K9" s="73"/>
    </row>
    <row r="11" spans="1:21" x14ac:dyDescent="0.25">
      <c r="A11" s="5"/>
      <c r="B11" s="38"/>
      <c r="C11" s="5"/>
      <c r="D11" s="2" t="s">
        <v>1285</v>
      </c>
      <c r="E11" s="81">
        <v>0</v>
      </c>
      <c r="F11" s="38"/>
      <c r="G11" s="38"/>
      <c r="H11" s="14"/>
      <c r="I11" s="27"/>
    </row>
    <row r="12" spans="1:21" s="73" customFormat="1" ht="14.25" customHeight="1" x14ac:dyDescent="0.25">
      <c r="A12" s="70"/>
      <c r="B12" s="71"/>
      <c r="C12" s="5"/>
      <c r="D12" s="72" t="s">
        <v>1286</v>
      </c>
      <c r="E12" s="73">
        <v>0</v>
      </c>
      <c r="F12" s="131"/>
      <c r="G12" s="74"/>
      <c r="H12" s="132"/>
      <c r="I12" s="27"/>
      <c r="J12" s="72"/>
      <c r="K12" s="72"/>
      <c r="L12"/>
      <c r="M12"/>
      <c r="N12"/>
      <c r="O12"/>
      <c r="P12"/>
      <c r="Q12"/>
      <c r="R12"/>
      <c r="S12"/>
      <c r="T12"/>
      <c r="U12"/>
    </row>
    <row r="13" spans="1:21" ht="12.75" customHeight="1" x14ac:dyDescent="0.25">
      <c r="A13" s="70"/>
      <c r="B13" s="71"/>
      <c r="C13" s="5"/>
      <c r="D13" s="72" t="s">
        <v>1287</v>
      </c>
      <c r="E13" s="143">
        <f>I5</f>
        <v>8.06</v>
      </c>
      <c r="F13" s="131"/>
      <c r="G13" s="74"/>
      <c r="H13" s="132"/>
      <c r="I13" s="27"/>
      <c r="J13" s="72"/>
    </row>
    <row r="14" spans="1:21" x14ac:dyDescent="0.25">
      <c r="A14" s="70"/>
      <c r="B14" s="71"/>
      <c r="C14" s="5"/>
      <c r="D14" s="72" t="s">
        <v>1288</v>
      </c>
      <c r="E14" s="143">
        <f>I6</f>
        <v>20.68</v>
      </c>
      <c r="F14" s="131"/>
      <c r="G14" s="74"/>
      <c r="H14" s="132"/>
      <c r="I14" s="27"/>
      <c r="J14" s="72"/>
      <c r="K14" s="72"/>
    </row>
    <row r="15" spans="1:21" ht="13.5" customHeight="1" x14ac:dyDescent="0.25">
      <c r="A15" s="70"/>
      <c r="B15" s="71"/>
      <c r="C15" s="5"/>
      <c r="D15" s="72" t="s">
        <v>1289</v>
      </c>
      <c r="E15" s="143">
        <f>I7</f>
        <v>1.7341690359265962</v>
      </c>
      <c r="F15" s="131"/>
      <c r="G15" s="74"/>
      <c r="H15" s="132"/>
      <c r="I15" s="27"/>
      <c r="J15" s="72"/>
      <c r="K15" s="72"/>
    </row>
    <row r="16" spans="1:21" x14ac:dyDescent="0.25">
      <c r="A16" s="22"/>
      <c r="B16" s="74"/>
      <c r="C16" s="5"/>
      <c r="D16" s="22" t="s">
        <v>1290</v>
      </c>
      <c r="E16" s="144">
        <f>I8</f>
        <v>32.770000000000003</v>
      </c>
      <c r="F16" s="27"/>
      <c r="G16" s="26"/>
      <c r="H16" s="132"/>
      <c r="I16" s="27"/>
      <c r="J16" s="72"/>
      <c r="K16" s="73"/>
    </row>
    <row r="17" spans="1:21" ht="15.75" customHeight="1" x14ac:dyDescent="0.25">
      <c r="D17" s="2" t="s">
        <v>1291</v>
      </c>
      <c r="E17" s="145">
        <f>I9</f>
        <v>2.0144754201447546</v>
      </c>
    </row>
    <row r="18" spans="1:21" x14ac:dyDescent="0.25">
      <c r="A18" s="5"/>
      <c r="B18" s="38"/>
      <c r="C18" s="5"/>
      <c r="E18" s="5"/>
      <c r="G18" s="38"/>
      <c r="H18" s="14"/>
      <c r="I18" s="27"/>
      <c r="K18" s="5"/>
    </row>
    <row r="19" spans="1:21" s="73" customFormat="1" ht="126.75" customHeight="1" x14ac:dyDescent="0.25">
      <c r="A19" s="70"/>
      <c r="B19" s="71"/>
      <c r="C19" s="5"/>
      <c r="D19" s="72"/>
      <c r="F19" s="131"/>
      <c r="G19" s="74"/>
      <c r="H19" s="132"/>
      <c r="I19" s="27"/>
      <c r="J19" s="72"/>
      <c r="K19" s="72"/>
      <c r="L19"/>
      <c r="M19"/>
      <c r="N19"/>
      <c r="O19"/>
      <c r="P19"/>
      <c r="Q19"/>
      <c r="R19"/>
      <c r="S19"/>
      <c r="T19"/>
      <c r="U19"/>
    </row>
    <row r="20" spans="1:21" ht="24.75" customHeight="1" x14ac:dyDescent="0.25">
      <c r="A20" s="70"/>
      <c r="B20" s="71"/>
      <c r="C20" s="5"/>
      <c r="D20" s="72"/>
      <c r="E20" s="73"/>
      <c r="F20" s="131"/>
      <c r="G20" s="74"/>
      <c r="H20" s="132"/>
      <c r="I20" s="27"/>
      <c r="J20" s="72"/>
    </row>
    <row r="21" spans="1:21" x14ac:dyDescent="0.25">
      <c r="A21" s="70"/>
      <c r="B21" s="71"/>
      <c r="C21" s="5"/>
      <c r="D21" s="72"/>
      <c r="E21" s="73"/>
      <c r="F21" s="131"/>
      <c r="G21" s="74"/>
      <c r="H21" s="132"/>
      <c r="I21" s="27"/>
      <c r="J21" s="72"/>
      <c r="K21" s="72"/>
    </row>
    <row r="22" spans="1:21" x14ac:dyDescent="0.25">
      <c r="A22" s="70"/>
      <c r="B22" s="71"/>
      <c r="C22" s="5"/>
      <c r="D22" s="72"/>
      <c r="E22" s="73"/>
      <c r="F22" s="131"/>
      <c r="G22" s="74"/>
      <c r="H22" s="132"/>
      <c r="I22" s="27"/>
      <c r="J22" s="72"/>
      <c r="K22" s="72"/>
    </row>
    <row r="23" spans="1:21" x14ac:dyDescent="0.25">
      <c r="A23" s="22"/>
      <c r="B23" s="74"/>
      <c r="C23" s="5"/>
      <c r="D23" s="22"/>
      <c r="E23" s="75"/>
      <c r="F23" s="27"/>
      <c r="G23" s="26"/>
      <c r="H23" s="132"/>
      <c r="I23" s="27"/>
      <c r="J23" s="72"/>
      <c r="K23" s="73"/>
    </row>
  </sheetData>
  <conditionalFormatting sqref="M194:T194">
    <cfRule type="cellIs" priority="2" operator="equal">
      <formula>0</formula>
    </cfRule>
  </conditionalFormatting>
  <conditionalFormatting sqref="M296:T297">
    <cfRule type="cellIs" dxfId="1" priority="1" operator="equal">
      <formula>0</formula>
    </cfRule>
  </conditionalFormatting>
  <pageMargins left="0.7" right="0.7" top="0.75" bottom="0.75" header="0.3" footer="0.3"/>
  <pageSetup paperSize="9" scale="9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59AABE-85CA-4BDA-A52A-06FF18D33B7B}">
  <dimension ref="A1:V517"/>
  <sheetViews>
    <sheetView view="pageBreakPreview" zoomScaleNormal="115" zoomScaleSheetLayoutView="100" workbookViewId="0"/>
  </sheetViews>
  <sheetFormatPr defaultRowHeight="15" x14ac:dyDescent="0.25"/>
  <cols>
    <col min="1" max="1" width="8" customWidth="1"/>
    <col min="2" max="2" width="11.140625" customWidth="1"/>
    <col min="3" max="3" width="5.85546875" customWidth="1"/>
    <col min="4" max="4" width="15.85546875" customWidth="1"/>
    <col min="5" max="5" width="12.28515625" customWidth="1"/>
    <col min="6" max="6" width="9.42578125" customWidth="1"/>
    <col min="7" max="8" width="6.42578125" style="123" customWidth="1"/>
    <col min="9" max="9" width="7.28515625" style="123" customWidth="1"/>
    <col min="10" max="10" width="7.7109375" style="123" customWidth="1"/>
    <col min="11" max="11" width="6.7109375" style="123" customWidth="1"/>
    <col min="12" max="12" width="30" customWidth="1"/>
    <col min="13" max="13" width="29.85546875" style="123" customWidth="1"/>
    <col min="14" max="14" width="19.42578125" customWidth="1"/>
  </cols>
  <sheetData>
    <row r="1" spans="1:22" s="7" customFormat="1" x14ac:dyDescent="0.25">
      <c r="A1" s="138" t="s">
        <v>1318</v>
      </c>
      <c r="B1" s="28"/>
      <c r="F1" s="8"/>
      <c r="G1" s="18"/>
      <c r="H1" s="18"/>
      <c r="I1" s="18"/>
      <c r="J1" s="18"/>
      <c r="K1" s="88"/>
      <c r="M1" s="18"/>
      <c r="O1"/>
      <c r="P1"/>
      <c r="Q1"/>
      <c r="R1"/>
      <c r="S1"/>
      <c r="T1"/>
      <c r="U1"/>
      <c r="V1"/>
    </row>
    <row r="2" spans="1:22" s="10" customFormat="1" x14ac:dyDescent="0.25">
      <c r="A2" s="9" t="s">
        <v>243</v>
      </c>
      <c r="B2" s="23"/>
      <c r="C2" s="9"/>
      <c r="G2" s="23"/>
      <c r="H2" s="12"/>
      <c r="I2" s="12"/>
      <c r="J2" s="12"/>
      <c r="K2" s="13"/>
      <c r="M2" s="12"/>
      <c r="O2"/>
      <c r="P2"/>
      <c r="Q2"/>
      <c r="R2"/>
      <c r="S2"/>
      <c r="T2"/>
      <c r="U2"/>
      <c r="V2"/>
    </row>
    <row r="3" spans="1:22" s="19" customFormat="1" x14ac:dyDescent="0.25">
      <c r="A3" s="9" t="s">
        <v>1260</v>
      </c>
      <c r="B3" s="23"/>
      <c r="G3" s="1"/>
      <c r="H3" s="1"/>
      <c r="I3" s="1"/>
      <c r="J3" s="1"/>
      <c r="K3" s="17"/>
      <c r="M3" s="1"/>
      <c r="O3"/>
      <c r="P3"/>
      <c r="Q3"/>
      <c r="R3"/>
      <c r="S3"/>
      <c r="T3"/>
      <c r="U3"/>
      <c r="V3"/>
    </row>
    <row r="4" spans="1:22" s="1" customFormat="1" ht="33.75" x14ac:dyDescent="0.25">
      <c r="A4" s="11" t="s">
        <v>0</v>
      </c>
      <c r="B4" s="11" t="s">
        <v>1</v>
      </c>
      <c r="C4" s="11" t="s">
        <v>2</v>
      </c>
      <c r="D4" s="12" t="s">
        <v>3</v>
      </c>
      <c r="E4" s="12" t="s">
        <v>4</v>
      </c>
      <c r="F4" s="12" t="s">
        <v>6</v>
      </c>
      <c r="G4" s="13" t="s">
        <v>7</v>
      </c>
      <c r="H4" s="13" t="s">
        <v>8</v>
      </c>
      <c r="I4" s="12" t="s">
        <v>9</v>
      </c>
      <c r="J4" s="12" t="s">
        <v>10</v>
      </c>
      <c r="K4" s="13" t="s">
        <v>11</v>
      </c>
      <c r="L4" s="13" t="s">
        <v>12</v>
      </c>
      <c r="M4" s="12" t="s">
        <v>13</v>
      </c>
      <c r="N4" s="105"/>
      <c r="O4"/>
      <c r="P4"/>
      <c r="Q4"/>
      <c r="R4"/>
      <c r="S4"/>
      <c r="T4"/>
      <c r="U4"/>
      <c r="V4"/>
    </row>
    <row r="5" spans="1:22" ht="22.5" x14ac:dyDescent="0.25">
      <c r="A5" s="14" t="s">
        <v>244</v>
      </c>
      <c r="B5" s="14">
        <v>4.3</v>
      </c>
      <c r="C5" s="18" t="s">
        <v>240</v>
      </c>
      <c r="D5" s="26" t="s">
        <v>368</v>
      </c>
      <c r="E5" s="26" t="s">
        <v>369</v>
      </c>
      <c r="F5" s="26" t="s">
        <v>262</v>
      </c>
      <c r="G5" s="155">
        <v>5.3780738073807388</v>
      </c>
      <c r="H5" s="155"/>
      <c r="I5" s="156">
        <v>1</v>
      </c>
      <c r="J5" s="158">
        <f>365/7*20</f>
        <v>1042.8571428571429</v>
      </c>
      <c r="K5" s="16">
        <f t="shared" ref="K5:K36" si="0">G5*I5/J5</f>
        <v>5.1570570755705711E-3</v>
      </c>
      <c r="L5" s="27" t="s">
        <v>370</v>
      </c>
      <c r="M5" s="14" t="s">
        <v>371</v>
      </c>
      <c r="N5" s="26"/>
    </row>
    <row r="6" spans="1:22" ht="22.5" x14ac:dyDescent="0.25">
      <c r="A6" s="14" t="s">
        <v>244</v>
      </c>
      <c r="B6" s="14">
        <v>4.3</v>
      </c>
      <c r="C6" s="18" t="s">
        <v>240</v>
      </c>
      <c r="D6" s="26" t="s">
        <v>368</v>
      </c>
      <c r="E6" s="26" t="s">
        <v>372</v>
      </c>
      <c r="F6" s="26" t="s">
        <v>262</v>
      </c>
      <c r="G6" s="155">
        <v>6.2814221422142227</v>
      </c>
      <c r="H6" s="155"/>
      <c r="I6" s="156">
        <v>1</v>
      </c>
      <c r="J6" s="158">
        <f>365/7*20</f>
        <v>1042.8571428571429</v>
      </c>
      <c r="K6" s="16">
        <f t="shared" si="0"/>
        <v>6.0232815062328162E-3</v>
      </c>
      <c r="L6" s="27" t="s">
        <v>373</v>
      </c>
      <c r="M6" s="26" t="s">
        <v>374</v>
      </c>
      <c r="N6" s="44"/>
    </row>
    <row r="7" spans="1:22" ht="67.5" x14ac:dyDescent="0.25">
      <c r="A7" s="18" t="s">
        <v>244</v>
      </c>
      <c r="B7" s="18">
        <v>5.0999999999999996</v>
      </c>
      <c r="C7" s="18" t="s">
        <v>240</v>
      </c>
      <c r="D7" s="14" t="s">
        <v>245</v>
      </c>
      <c r="E7" s="14" t="s">
        <v>246</v>
      </c>
      <c r="F7" s="14" t="s">
        <v>255</v>
      </c>
      <c r="G7" s="16">
        <v>27.102803738317753</v>
      </c>
      <c r="H7" s="29">
        <v>1</v>
      </c>
      <c r="I7" s="154">
        <v>1</v>
      </c>
      <c r="J7" s="152">
        <f>365/7*10</f>
        <v>521.42857142857144</v>
      </c>
      <c r="K7" s="16">
        <f t="shared" si="0"/>
        <v>5.197797977211624E-2</v>
      </c>
      <c r="L7" s="14" t="s">
        <v>377</v>
      </c>
      <c r="M7" s="26" t="s">
        <v>378</v>
      </c>
      <c r="N7" s="44"/>
    </row>
    <row r="8" spans="1:22" ht="33.75" x14ac:dyDescent="0.25">
      <c r="A8" s="18" t="s">
        <v>244</v>
      </c>
      <c r="B8" s="18">
        <v>5.0999999999999996</v>
      </c>
      <c r="C8" s="18" t="s">
        <v>240</v>
      </c>
      <c r="D8" s="14" t="s">
        <v>245</v>
      </c>
      <c r="E8" s="14" t="s">
        <v>384</v>
      </c>
      <c r="F8" s="14" t="s">
        <v>249</v>
      </c>
      <c r="G8" s="16">
        <v>28.186915887850464</v>
      </c>
      <c r="H8" s="29">
        <v>1</v>
      </c>
      <c r="I8" s="154">
        <v>1</v>
      </c>
      <c r="J8" s="152">
        <f>365/7*20</f>
        <v>1042.8571428571429</v>
      </c>
      <c r="K8" s="16">
        <f t="shared" si="0"/>
        <v>2.7028549481500443E-2</v>
      </c>
      <c r="L8" s="14" t="s">
        <v>385</v>
      </c>
      <c r="M8" s="14" t="s">
        <v>386</v>
      </c>
      <c r="N8" s="22"/>
    </row>
    <row r="9" spans="1:22" ht="67.5" x14ac:dyDescent="0.25">
      <c r="A9" s="18" t="s">
        <v>244</v>
      </c>
      <c r="B9" s="18">
        <v>5.0999999999999996</v>
      </c>
      <c r="C9" s="18" t="s">
        <v>240</v>
      </c>
      <c r="D9" s="14" t="s">
        <v>252</v>
      </c>
      <c r="E9" s="14" t="s">
        <v>246</v>
      </c>
      <c r="F9" s="14" t="s">
        <v>255</v>
      </c>
      <c r="G9" s="16">
        <v>27.102803738317753</v>
      </c>
      <c r="H9" s="29">
        <v>1</v>
      </c>
      <c r="I9" s="154">
        <v>1</v>
      </c>
      <c r="J9" s="152">
        <f>365/7*10</f>
        <v>521.42857142857144</v>
      </c>
      <c r="K9" s="16">
        <f t="shared" si="0"/>
        <v>5.197797977211624E-2</v>
      </c>
      <c r="L9" s="14" t="s">
        <v>377</v>
      </c>
      <c r="M9" s="26" t="s">
        <v>378</v>
      </c>
      <c r="N9" s="14"/>
    </row>
    <row r="10" spans="1:22" ht="45" x14ac:dyDescent="0.25">
      <c r="A10" s="18" t="s">
        <v>244</v>
      </c>
      <c r="B10" s="18">
        <v>5.0999999999999996</v>
      </c>
      <c r="C10" s="18" t="s">
        <v>240</v>
      </c>
      <c r="D10" s="14" t="s">
        <v>252</v>
      </c>
      <c r="E10" s="19" t="s">
        <v>258</v>
      </c>
      <c r="F10" s="36" t="s">
        <v>367</v>
      </c>
      <c r="G10" s="155">
        <v>465.08411214953264</v>
      </c>
      <c r="H10" s="156">
        <v>1</v>
      </c>
      <c r="I10" s="157">
        <v>1</v>
      </c>
      <c r="J10" s="152">
        <f>365/7*10</f>
        <v>521.42857142857144</v>
      </c>
      <c r="K10" s="16">
        <f t="shared" si="0"/>
        <v>0.89194213288951463</v>
      </c>
      <c r="L10" s="22" t="s">
        <v>394</v>
      </c>
      <c r="M10" s="38" t="s">
        <v>395</v>
      </c>
      <c r="N10" s="18"/>
    </row>
    <row r="11" spans="1:22" ht="45" x14ac:dyDescent="0.25">
      <c r="A11" s="18" t="s">
        <v>244</v>
      </c>
      <c r="B11" s="18">
        <v>5.0999999999999996</v>
      </c>
      <c r="C11" s="18" t="s">
        <v>240</v>
      </c>
      <c r="D11" s="14" t="s">
        <v>252</v>
      </c>
      <c r="E11" s="22" t="s">
        <v>396</v>
      </c>
      <c r="F11" s="36" t="s">
        <v>367</v>
      </c>
      <c r="G11" s="155">
        <v>703.58878504672896</v>
      </c>
      <c r="H11" s="156">
        <v>1</v>
      </c>
      <c r="I11" s="157">
        <v>1</v>
      </c>
      <c r="J11" s="152">
        <f>365/7*10</f>
        <v>521.42857142857144</v>
      </c>
      <c r="K11" s="16">
        <f t="shared" si="0"/>
        <v>1.3493483548841376</v>
      </c>
      <c r="L11" s="22" t="s">
        <v>394</v>
      </c>
      <c r="M11" s="14" t="s">
        <v>397</v>
      </c>
      <c r="N11" s="18"/>
    </row>
    <row r="12" spans="1:22" ht="22.5" x14ac:dyDescent="0.25">
      <c r="A12" s="18" t="s">
        <v>244</v>
      </c>
      <c r="B12" s="18">
        <v>5.0999999999999996</v>
      </c>
      <c r="C12" s="18" t="s">
        <v>240</v>
      </c>
      <c r="D12" s="14" t="s">
        <v>252</v>
      </c>
      <c r="E12" s="22" t="s">
        <v>398</v>
      </c>
      <c r="F12" s="36" t="s">
        <v>367</v>
      </c>
      <c r="G12" s="155">
        <v>215.73831775700933</v>
      </c>
      <c r="H12" s="156">
        <v>1</v>
      </c>
      <c r="I12" s="157">
        <v>1</v>
      </c>
      <c r="J12" s="152">
        <f>365/7*15</f>
        <v>782.14285714285722</v>
      </c>
      <c r="K12" s="16">
        <f t="shared" si="0"/>
        <v>0.2758298126573635</v>
      </c>
      <c r="L12" s="22" t="s">
        <v>399</v>
      </c>
      <c r="M12" s="11" t="s">
        <v>400</v>
      </c>
      <c r="N12" s="18"/>
    </row>
    <row r="13" spans="1:22" ht="56.25" x14ac:dyDescent="0.25">
      <c r="A13" s="18" t="s">
        <v>244</v>
      </c>
      <c r="B13" s="18">
        <v>5.0999999999999996</v>
      </c>
      <c r="C13" s="18" t="s">
        <v>240</v>
      </c>
      <c r="D13" s="14" t="s">
        <v>252</v>
      </c>
      <c r="E13" s="19" t="s">
        <v>403</v>
      </c>
      <c r="F13" s="20" t="s">
        <v>249</v>
      </c>
      <c r="G13" s="15">
        <v>97.570093457943912</v>
      </c>
      <c r="H13" s="164">
        <v>3</v>
      </c>
      <c r="I13" s="165">
        <v>1</v>
      </c>
      <c r="J13" s="166">
        <f>365/7*20</f>
        <v>1042.8571428571429</v>
      </c>
      <c r="K13" s="16">
        <f t="shared" si="0"/>
        <v>9.3560363589809223E-2</v>
      </c>
      <c r="L13" s="19" t="s">
        <v>404</v>
      </c>
      <c r="M13" s="14" t="s">
        <v>405</v>
      </c>
      <c r="N13" s="18"/>
    </row>
    <row r="14" spans="1:22" ht="33.75" x14ac:dyDescent="0.25">
      <c r="A14" s="18" t="s">
        <v>244</v>
      </c>
      <c r="B14" s="18">
        <v>5.0999999999999996</v>
      </c>
      <c r="C14" s="18" t="s">
        <v>240</v>
      </c>
      <c r="D14" s="14" t="s">
        <v>252</v>
      </c>
      <c r="E14" s="19" t="s">
        <v>409</v>
      </c>
      <c r="F14" s="20" t="s">
        <v>249</v>
      </c>
      <c r="G14" s="15">
        <v>70.467289719626166</v>
      </c>
      <c r="H14" s="164">
        <v>1</v>
      </c>
      <c r="I14" s="165">
        <v>1</v>
      </c>
      <c r="J14" s="166">
        <f>365/7*20</f>
        <v>1042.8571428571429</v>
      </c>
      <c r="K14" s="16">
        <f t="shared" si="0"/>
        <v>6.7571373703751117E-2</v>
      </c>
      <c r="L14" s="19" t="s">
        <v>410</v>
      </c>
      <c r="M14" s="35" t="s">
        <v>411</v>
      </c>
      <c r="N14" s="18"/>
    </row>
    <row r="15" spans="1:22" ht="33.75" x14ac:dyDescent="0.25">
      <c r="A15" s="18" t="s">
        <v>244</v>
      </c>
      <c r="B15" s="18">
        <v>5.0999999999999996</v>
      </c>
      <c r="C15" s="18" t="s">
        <v>240</v>
      </c>
      <c r="D15" s="14" t="s">
        <v>252</v>
      </c>
      <c r="E15" s="19" t="s">
        <v>260</v>
      </c>
      <c r="F15" s="20" t="s">
        <v>255</v>
      </c>
      <c r="G15" s="15">
        <v>183.21495327102801</v>
      </c>
      <c r="H15" s="164">
        <v>1</v>
      </c>
      <c r="I15" s="165">
        <v>1</v>
      </c>
      <c r="J15" s="166">
        <f>365/7*20</f>
        <v>1042.8571428571429</v>
      </c>
      <c r="K15" s="16">
        <f t="shared" si="0"/>
        <v>0.17568557162975287</v>
      </c>
      <c r="L15" s="19" t="s">
        <v>412</v>
      </c>
      <c r="M15" s="14" t="s">
        <v>413</v>
      </c>
      <c r="N15" s="18"/>
    </row>
    <row r="16" spans="1:22" ht="67.5" x14ac:dyDescent="0.25">
      <c r="A16" s="18" t="s">
        <v>244</v>
      </c>
      <c r="B16" s="18">
        <v>5.0999999999999996</v>
      </c>
      <c r="C16" s="18" t="s">
        <v>240</v>
      </c>
      <c r="D16" s="14" t="s">
        <v>252</v>
      </c>
      <c r="E16" s="22" t="s">
        <v>263</v>
      </c>
      <c r="F16" s="36"/>
      <c r="G16" s="155">
        <v>54.205607476635507</v>
      </c>
      <c r="H16" s="156">
        <v>1</v>
      </c>
      <c r="I16" s="157">
        <v>1</v>
      </c>
      <c r="J16" s="158">
        <f>365/7</f>
        <v>52.142857142857146</v>
      </c>
      <c r="K16" s="16">
        <f t="shared" si="0"/>
        <v>1.0395595954423247</v>
      </c>
      <c r="L16" s="19" t="s">
        <v>414</v>
      </c>
      <c r="M16" s="3"/>
      <c r="N16" s="31"/>
    </row>
    <row r="17" spans="1:14" ht="101.25" x14ac:dyDescent="0.25">
      <c r="A17" s="18" t="s">
        <v>244</v>
      </c>
      <c r="B17" s="18">
        <v>5.0999999999999996</v>
      </c>
      <c r="C17" s="18" t="s">
        <v>240</v>
      </c>
      <c r="D17" s="14" t="s">
        <v>252</v>
      </c>
      <c r="E17" s="19" t="s">
        <v>415</v>
      </c>
      <c r="F17" s="36" t="s">
        <v>255</v>
      </c>
      <c r="G17" s="155">
        <v>10.841121495327101</v>
      </c>
      <c r="H17" s="156">
        <v>1</v>
      </c>
      <c r="I17" s="157">
        <v>1</v>
      </c>
      <c r="J17" s="158">
        <f>365/7*15</f>
        <v>782.14285714285722</v>
      </c>
      <c r="K17" s="16">
        <f t="shared" si="0"/>
        <v>1.3860794605897663E-2</v>
      </c>
      <c r="L17" s="19" t="s">
        <v>416</v>
      </c>
      <c r="M17" s="14" t="s">
        <v>417</v>
      </c>
      <c r="N17" s="14"/>
    </row>
    <row r="18" spans="1:14" ht="45" x14ac:dyDescent="0.25">
      <c r="A18" s="18" t="s">
        <v>244</v>
      </c>
      <c r="B18" s="18">
        <v>5.0999999999999996</v>
      </c>
      <c r="C18" s="18" t="s">
        <v>240</v>
      </c>
      <c r="D18" s="14" t="s">
        <v>252</v>
      </c>
      <c r="E18" s="19" t="s">
        <v>418</v>
      </c>
      <c r="F18" s="20" t="s">
        <v>262</v>
      </c>
      <c r="G18" s="15">
        <v>21.682242990654203</v>
      </c>
      <c r="H18" s="164">
        <v>1</v>
      </c>
      <c r="I18" s="165">
        <v>1</v>
      </c>
      <c r="J18" s="166">
        <f>365/7*15</f>
        <v>782.14285714285722</v>
      </c>
      <c r="K18" s="16">
        <f t="shared" si="0"/>
        <v>2.7721589211795326E-2</v>
      </c>
      <c r="L18" s="19" t="s">
        <v>419</v>
      </c>
      <c r="M18" s="14" t="s">
        <v>420</v>
      </c>
      <c r="N18" s="18"/>
    </row>
    <row r="19" spans="1:14" ht="67.5" x14ac:dyDescent="0.25">
      <c r="A19" s="19" t="s">
        <v>244</v>
      </c>
      <c r="B19" s="1">
        <v>5.0999999999999996</v>
      </c>
      <c r="C19" s="18" t="s">
        <v>240</v>
      </c>
      <c r="D19" s="37" t="s">
        <v>264</v>
      </c>
      <c r="E19" s="14" t="s">
        <v>246</v>
      </c>
      <c r="F19" s="14" t="s">
        <v>255</v>
      </c>
      <c r="G19" s="29">
        <v>27.102803738317753</v>
      </c>
      <c r="H19" s="29">
        <v>1</v>
      </c>
      <c r="I19" s="154">
        <v>1</v>
      </c>
      <c r="J19" s="152">
        <f>365/7*10</f>
        <v>521.42857142857144</v>
      </c>
      <c r="K19" s="16">
        <f t="shared" si="0"/>
        <v>5.197797977211624E-2</v>
      </c>
      <c r="L19" s="14" t="s">
        <v>377</v>
      </c>
      <c r="M19" s="26" t="s">
        <v>378</v>
      </c>
      <c r="N19" s="30"/>
    </row>
    <row r="20" spans="1:14" ht="45" x14ac:dyDescent="0.25">
      <c r="A20" s="19" t="s">
        <v>244</v>
      </c>
      <c r="B20" s="1">
        <v>5.0999999999999996</v>
      </c>
      <c r="C20" s="18" t="s">
        <v>240</v>
      </c>
      <c r="D20" s="19" t="s">
        <v>264</v>
      </c>
      <c r="E20" s="22" t="s">
        <v>421</v>
      </c>
      <c r="F20" s="22" t="s">
        <v>249</v>
      </c>
      <c r="G20" s="155">
        <v>130.09345794392522</v>
      </c>
      <c r="H20" s="156">
        <v>1</v>
      </c>
      <c r="I20" s="156">
        <v>1</v>
      </c>
      <c r="J20" s="158">
        <f>365/7*20</f>
        <v>1042.8571428571429</v>
      </c>
      <c r="K20" s="16">
        <f t="shared" si="0"/>
        <v>0.12474715145307896</v>
      </c>
      <c r="L20" s="19" t="s">
        <v>422</v>
      </c>
      <c r="M20" s="26" t="s">
        <v>423</v>
      </c>
      <c r="N20" s="30"/>
    </row>
    <row r="21" spans="1:14" ht="101.25" x14ac:dyDescent="0.25">
      <c r="A21" s="19" t="s">
        <v>244</v>
      </c>
      <c r="B21" s="1">
        <v>5.0999999999999996</v>
      </c>
      <c r="C21" s="18" t="s">
        <v>240</v>
      </c>
      <c r="D21" s="19" t="s">
        <v>264</v>
      </c>
      <c r="E21" s="22" t="s">
        <v>424</v>
      </c>
      <c r="F21" s="22" t="s">
        <v>249</v>
      </c>
      <c r="G21" s="156">
        <v>86.728971962616811</v>
      </c>
      <c r="H21" s="156">
        <v>2</v>
      </c>
      <c r="I21" s="156">
        <v>2</v>
      </c>
      <c r="J21" s="158">
        <f>365/7*20</f>
        <v>1042.8571428571429</v>
      </c>
      <c r="K21" s="16">
        <f t="shared" si="0"/>
        <v>0.16632953527077196</v>
      </c>
      <c r="L21" s="22" t="s">
        <v>425</v>
      </c>
      <c r="M21" s="26" t="s">
        <v>426</v>
      </c>
      <c r="N21" s="30"/>
    </row>
    <row r="22" spans="1:14" ht="33.75" x14ac:dyDescent="0.25">
      <c r="A22" s="18" t="s">
        <v>244</v>
      </c>
      <c r="B22" s="18">
        <v>5.0999999999999996</v>
      </c>
      <c r="C22" s="18" t="s">
        <v>240</v>
      </c>
      <c r="D22" s="19" t="s">
        <v>264</v>
      </c>
      <c r="E22" s="19" t="s">
        <v>265</v>
      </c>
      <c r="F22" s="19" t="s">
        <v>251</v>
      </c>
      <c r="G22" s="15">
        <v>5.4097196261682239</v>
      </c>
      <c r="H22" s="164">
        <v>4</v>
      </c>
      <c r="I22" s="165">
        <v>2</v>
      </c>
      <c r="J22" s="166">
        <f>365/7*5</f>
        <v>260.71428571428572</v>
      </c>
      <c r="K22" s="16">
        <f t="shared" si="0"/>
        <v>4.1499219050057608E-2</v>
      </c>
      <c r="L22" s="22" t="s">
        <v>427</v>
      </c>
      <c r="M22" s="26" t="s">
        <v>266</v>
      </c>
      <c r="N22" s="30"/>
    </row>
    <row r="23" spans="1:14" ht="22.5" x14ac:dyDescent="0.25">
      <c r="A23" s="18" t="s">
        <v>244</v>
      </c>
      <c r="B23" s="18">
        <v>5.0999999999999996</v>
      </c>
      <c r="C23" s="18" t="s">
        <v>240</v>
      </c>
      <c r="D23" s="19" t="s">
        <v>264</v>
      </c>
      <c r="E23" s="19" t="s">
        <v>267</v>
      </c>
      <c r="F23" s="19" t="s">
        <v>251</v>
      </c>
      <c r="G23" s="15">
        <v>2.1573831775700931</v>
      </c>
      <c r="H23" s="164">
        <v>4</v>
      </c>
      <c r="I23" s="165">
        <v>2</v>
      </c>
      <c r="J23" s="166">
        <f>365/7*5</f>
        <v>260.71428571428572</v>
      </c>
      <c r="K23" s="16">
        <f t="shared" si="0"/>
        <v>1.6549788759441811E-2</v>
      </c>
      <c r="L23" s="22" t="s">
        <v>1264</v>
      </c>
      <c r="M23" s="14" t="s">
        <v>268</v>
      </c>
      <c r="N23" s="19"/>
    </row>
    <row r="24" spans="1:14" ht="33.75" x14ac:dyDescent="0.25">
      <c r="A24" s="19" t="s">
        <v>244</v>
      </c>
      <c r="B24" s="1">
        <v>5.0999999999999996</v>
      </c>
      <c r="C24" s="18" t="s">
        <v>240</v>
      </c>
      <c r="D24" s="37" t="s">
        <v>269</v>
      </c>
      <c r="E24" s="14" t="s">
        <v>270</v>
      </c>
      <c r="F24" s="14" t="s">
        <v>249</v>
      </c>
      <c r="G24" s="16">
        <v>15.177570093457943</v>
      </c>
      <c r="H24" s="29">
        <v>1</v>
      </c>
      <c r="I24" s="29">
        <v>1</v>
      </c>
      <c r="J24" s="152">
        <f>365/7*5</f>
        <v>260.71428571428572</v>
      </c>
      <c r="K24" s="16">
        <f t="shared" si="0"/>
        <v>5.8215337344770191E-2</v>
      </c>
      <c r="L24" s="14" t="s">
        <v>429</v>
      </c>
      <c r="M24" s="14" t="s">
        <v>271</v>
      </c>
      <c r="N24" s="19"/>
    </row>
    <row r="25" spans="1:14" ht="33.75" x14ac:dyDescent="0.25">
      <c r="A25" s="19" t="s">
        <v>244</v>
      </c>
      <c r="B25" s="1">
        <v>5.0999999999999996</v>
      </c>
      <c r="C25" s="18" t="s">
        <v>240</v>
      </c>
      <c r="D25" s="14" t="s">
        <v>339</v>
      </c>
      <c r="E25" s="14" t="s">
        <v>270</v>
      </c>
      <c r="F25" s="14" t="s">
        <v>249</v>
      </c>
      <c r="G25" s="16">
        <v>15.177570093457943</v>
      </c>
      <c r="H25" s="29"/>
      <c r="I25" s="29">
        <v>1</v>
      </c>
      <c r="J25" s="152">
        <f>365/7*5</f>
        <v>260.71428571428572</v>
      </c>
      <c r="K25" s="16">
        <f t="shared" si="0"/>
        <v>5.8215337344770191E-2</v>
      </c>
      <c r="L25" s="14" t="s">
        <v>429</v>
      </c>
      <c r="M25" s="14" t="s">
        <v>271</v>
      </c>
      <c r="N25" s="19"/>
    </row>
    <row r="26" spans="1:14" ht="33.75" x14ac:dyDescent="0.25">
      <c r="A26" s="19" t="s">
        <v>244</v>
      </c>
      <c r="B26" s="1">
        <v>5.0999999999999996</v>
      </c>
      <c r="C26" s="18" t="s">
        <v>240</v>
      </c>
      <c r="D26" s="14" t="s">
        <v>339</v>
      </c>
      <c r="E26" s="14" t="s">
        <v>340</v>
      </c>
      <c r="F26" s="19" t="s">
        <v>262</v>
      </c>
      <c r="G26" s="15">
        <v>21.682242990654203</v>
      </c>
      <c r="H26" s="164">
        <v>1</v>
      </c>
      <c r="I26" s="164">
        <v>1</v>
      </c>
      <c r="J26" s="166">
        <f>365/7*20</f>
        <v>1042.8571428571429</v>
      </c>
      <c r="K26" s="16">
        <f t="shared" si="0"/>
        <v>2.0791191908846495E-2</v>
      </c>
      <c r="L26" s="19" t="s">
        <v>607</v>
      </c>
      <c r="M26" s="26" t="s">
        <v>608</v>
      </c>
      <c r="N26" s="22"/>
    </row>
    <row r="27" spans="1:14" ht="45" x14ac:dyDescent="0.25">
      <c r="A27" s="7" t="s">
        <v>244</v>
      </c>
      <c r="B27" s="18">
        <v>5.0999999999999996</v>
      </c>
      <c r="C27" s="18" t="s">
        <v>240</v>
      </c>
      <c r="D27" s="4" t="s">
        <v>339</v>
      </c>
      <c r="E27" s="4" t="s">
        <v>626</v>
      </c>
      <c r="F27" s="7" t="s">
        <v>249</v>
      </c>
      <c r="G27" s="16">
        <v>10.841121495327101</v>
      </c>
      <c r="H27" s="29">
        <v>1</v>
      </c>
      <c r="I27" s="29">
        <v>1</v>
      </c>
      <c r="J27" s="152">
        <f>365/7*5</f>
        <v>260.71428571428572</v>
      </c>
      <c r="K27" s="16">
        <f t="shared" si="0"/>
        <v>4.158238381769299E-2</v>
      </c>
      <c r="L27" s="8" t="s">
        <v>627</v>
      </c>
      <c r="M27" s="35" t="s">
        <v>628</v>
      </c>
      <c r="N27" s="30"/>
    </row>
    <row r="28" spans="1:14" ht="67.5" x14ac:dyDescent="0.25">
      <c r="A28" s="19" t="s">
        <v>244</v>
      </c>
      <c r="B28" s="1">
        <v>5.0999999999999996</v>
      </c>
      <c r="C28" s="18" t="s">
        <v>240</v>
      </c>
      <c r="D28" s="4" t="s">
        <v>351</v>
      </c>
      <c r="E28" s="14" t="s">
        <v>246</v>
      </c>
      <c r="F28" s="14" t="s">
        <v>255</v>
      </c>
      <c r="G28" s="29">
        <v>27.102803738317753</v>
      </c>
      <c r="H28" s="29">
        <v>1</v>
      </c>
      <c r="I28" s="154">
        <v>1</v>
      </c>
      <c r="J28" s="152">
        <f>365/7*10</f>
        <v>521.42857142857144</v>
      </c>
      <c r="K28" s="16">
        <f t="shared" si="0"/>
        <v>5.197797977211624E-2</v>
      </c>
      <c r="L28" s="14" t="s">
        <v>377</v>
      </c>
      <c r="M28" s="26" t="s">
        <v>378</v>
      </c>
      <c r="N28" s="19"/>
    </row>
    <row r="29" spans="1:14" ht="101.25" x14ac:dyDescent="0.25">
      <c r="A29" s="38" t="s">
        <v>244</v>
      </c>
      <c r="B29" s="38">
        <v>5.0999999999999996</v>
      </c>
      <c r="C29" s="18" t="s">
        <v>240</v>
      </c>
      <c r="D29" s="19" t="s">
        <v>350</v>
      </c>
      <c r="E29" s="22" t="s">
        <v>352</v>
      </c>
      <c r="F29" s="22" t="s">
        <v>354</v>
      </c>
      <c r="G29" s="156">
        <v>325.23364485981307</v>
      </c>
      <c r="H29" s="156"/>
      <c r="I29" s="156">
        <v>1</v>
      </c>
      <c r="J29" s="152">
        <f>365/7*20</f>
        <v>1042.8571428571429</v>
      </c>
      <c r="K29" s="16">
        <f t="shared" si="0"/>
        <v>0.31186787863269744</v>
      </c>
      <c r="L29" s="19" t="s">
        <v>641</v>
      </c>
      <c r="M29" s="26" t="s">
        <v>642</v>
      </c>
      <c r="N29" s="19"/>
    </row>
    <row r="30" spans="1:14" ht="67.5" x14ac:dyDescent="0.25">
      <c r="A30" s="38" t="s">
        <v>244</v>
      </c>
      <c r="B30" s="38">
        <v>5.0999999999999996</v>
      </c>
      <c r="C30" s="18" t="s">
        <v>240</v>
      </c>
      <c r="D30" s="19" t="s">
        <v>350</v>
      </c>
      <c r="E30" s="19" t="s">
        <v>643</v>
      </c>
      <c r="F30" s="14" t="s">
        <v>354</v>
      </c>
      <c r="G30" s="156">
        <v>161.53271028037381</v>
      </c>
      <c r="H30" s="164">
        <v>1</v>
      </c>
      <c r="I30" s="164">
        <v>1</v>
      </c>
      <c r="J30" s="166">
        <f>365/7*20</f>
        <v>1042.8571428571429</v>
      </c>
      <c r="K30" s="16">
        <f t="shared" si="0"/>
        <v>0.15489437972090639</v>
      </c>
      <c r="L30" s="19" t="s">
        <v>644</v>
      </c>
      <c r="M30" s="14" t="s">
        <v>645</v>
      </c>
      <c r="N30" s="19"/>
    </row>
    <row r="31" spans="1:14" ht="45" x14ac:dyDescent="0.25">
      <c r="A31" s="38" t="s">
        <v>244</v>
      </c>
      <c r="B31" s="38">
        <v>5.0999999999999996</v>
      </c>
      <c r="C31" s="18" t="s">
        <v>240</v>
      </c>
      <c r="D31" s="19" t="s">
        <v>350</v>
      </c>
      <c r="E31" s="19" t="s">
        <v>353</v>
      </c>
      <c r="F31" s="14" t="s">
        <v>354</v>
      </c>
      <c r="G31" s="156">
        <v>649.38317757009338</v>
      </c>
      <c r="H31" s="164">
        <v>1</v>
      </c>
      <c r="I31" s="164">
        <v>1</v>
      </c>
      <c r="J31" s="166">
        <f>365/7*8</f>
        <v>417.14285714285717</v>
      </c>
      <c r="K31" s="16">
        <f t="shared" si="0"/>
        <v>1.5567404941748813</v>
      </c>
      <c r="L31" s="19" t="s">
        <v>646</v>
      </c>
      <c r="M31" s="14" t="s">
        <v>647</v>
      </c>
      <c r="N31" s="14"/>
    </row>
    <row r="32" spans="1:14" ht="56.25" x14ac:dyDescent="0.25">
      <c r="A32" s="4" t="s">
        <v>244</v>
      </c>
      <c r="B32" s="4">
        <v>5.0999999999999996</v>
      </c>
      <c r="C32" s="14" t="s">
        <v>240</v>
      </c>
      <c r="D32" s="19" t="s">
        <v>350</v>
      </c>
      <c r="E32" s="19" t="s">
        <v>356</v>
      </c>
      <c r="F32" s="14" t="s">
        <v>249</v>
      </c>
      <c r="G32" s="156">
        <v>352.3364485981308</v>
      </c>
      <c r="H32" s="164">
        <v>1</v>
      </c>
      <c r="I32" s="164">
        <v>1</v>
      </c>
      <c r="J32" s="166">
        <f>365/7*20</f>
        <v>1042.8571428571429</v>
      </c>
      <c r="K32" s="16">
        <f t="shared" si="0"/>
        <v>0.33785686851875557</v>
      </c>
      <c r="L32" s="19" t="s">
        <v>648</v>
      </c>
      <c r="M32" s="14" t="s">
        <v>649</v>
      </c>
      <c r="N32" s="14"/>
    </row>
    <row r="33" spans="1:14" ht="56.25" x14ac:dyDescent="0.25">
      <c r="A33" s="38" t="s">
        <v>244</v>
      </c>
      <c r="B33" s="38">
        <v>5.0999999999999996</v>
      </c>
      <c r="C33" s="18" t="s">
        <v>240</v>
      </c>
      <c r="D33" s="19" t="s">
        <v>350</v>
      </c>
      <c r="E33" s="19" t="s">
        <v>357</v>
      </c>
      <c r="F33" s="14" t="s">
        <v>249</v>
      </c>
      <c r="G33" s="156">
        <v>260.18691588785043</v>
      </c>
      <c r="H33" s="164">
        <v>1</v>
      </c>
      <c r="I33" s="164">
        <v>1</v>
      </c>
      <c r="J33" s="166">
        <f>365/7*20</f>
        <v>1042.8571428571429</v>
      </c>
      <c r="K33" s="16">
        <f t="shared" si="0"/>
        <v>0.24949430290615793</v>
      </c>
      <c r="L33" s="19" t="s">
        <v>650</v>
      </c>
      <c r="M33" s="14" t="s">
        <v>651</v>
      </c>
      <c r="N33" s="14"/>
    </row>
    <row r="34" spans="1:14" ht="56.25" x14ac:dyDescent="0.25">
      <c r="A34" s="38" t="s">
        <v>244</v>
      </c>
      <c r="B34" s="38">
        <v>5.0999999999999996</v>
      </c>
      <c r="C34" s="18" t="s">
        <v>240</v>
      </c>
      <c r="D34" s="19" t="s">
        <v>350</v>
      </c>
      <c r="E34" s="19" t="s">
        <v>358</v>
      </c>
      <c r="F34" s="14" t="s">
        <v>249</v>
      </c>
      <c r="G34" s="156">
        <v>140.93457943925233</v>
      </c>
      <c r="H34" s="164">
        <v>1</v>
      </c>
      <c r="I34" s="164">
        <v>2</v>
      </c>
      <c r="J34" s="166">
        <f>365/7*20</f>
        <v>1042.8571428571429</v>
      </c>
      <c r="K34" s="16">
        <f t="shared" si="0"/>
        <v>0.27028549481500447</v>
      </c>
      <c r="L34" s="19" t="s">
        <v>652</v>
      </c>
      <c r="M34" s="14" t="s">
        <v>653</v>
      </c>
      <c r="N34" s="14"/>
    </row>
    <row r="35" spans="1:14" ht="22.5" x14ac:dyDescent="0.25">
      <c r="A35" s="38" t="s">
        <v>244</v>
      </c>
      <c r="B35" s="38">
        <v>5.0999999999999996</v>
      </c>
      <c r="C35" s="18" t="s">
        <v>240</v>
      </c>
      <c r="D35" s="22" t="s">
        <v>350</v>
      </c>
      <c r="E35" s="22" t="s">
        <v>657</v>
      </c>
      <c r="F35" s="22" t="s">
        <v>255</v>
      </c>
      <c r="G35" s="155">
        <v>10.841121495327101</v>
      </c>
      <c r="H35" s="156">
        <v>1</v>
      </c>
      <c r="I35" s="156">
        <v>1</v>
      </c>
      <c r="J35" s="158">
        <f>365/7*20</f>
        <v>1042.8571428571429</v>
      </c>
      <c r="K35" s="16">
        <f t="shared" si="0"/>
        <v>1.0395595954423248E-2</v>
      </c>
      <c r="L35" s="22" t="s">
        <v>658</v>
      </c>
      <c r="M35" s="14" t="s">
        <v>659</v>
      </c>
      <c r="N35" s="18"/>
    </row>
    <row r="36" spans="1:14" ht="33.75" x14ac:dyDescent="0.25">
      <c r="A36" s="38" t="s">
        <v>244</v>
      </c>
      <c r="B36" s="38">
        <v>5.0999999999999996</v>
      </c>
      <c r="C36" s="18" t="s">
        <v>240</v>
      </c>
      <c r="D36" s="19" t="s">
        <v>350</v>
      </c>
      <c r="E36" s="19" t="s">
        <v>359</v>
      </c>
      <c r="F36" s="19" t="s">
        <v>27</v>
      </c>
      <c r="G36" s="15">
        <v>10.841121495327101</v>
      </c>
      <c r="H36" s="164">
        <v>1</v>
      </c>
      <c r="I36" s="164">
        <v>2</v>
      </c>
      <c r="J36" s="166">
        <f>365/7*10</f>
        <v>521.42857142857144</v>
      </c>
      <c r="K36" s="16">
        <f t="shared" si="0"/>
        <v>4.158238381769299E-2</v>
      </c>
      <c r="L36" s="19" t="s">
        <v>660</v>
      </c>
      <c r="M36" s="14" t="s">
        <v>661</v>
      </c>
      <c r="N36" s="19"/>
    </row>
    <row r="37" spans="1:14" ht="33.75" x14ac:dyDescent="0.25">
      <c r="A37" s="18" t="s">
        <v>244</v>
      </c>
      <c r="B37" s="18">
        <v>5.0999999999999996</v>
      </c>
      <c r="C37" s="18" t="s">
        <v>240</v>
      </c>
      <c r="D37" s="19" t="s">
        <v>350</v>
      </c>
      <c r="E37" s="40" t="s">
        <v>662</v>
      </c>
      <c r="F37" s="14" t="s">
        <v>255</v>
      </c>
      <c r="G37" s="15">
        <v>74.803738317757009</v>
      </c>
      <c r="H37" s="164">
        <v>1</v>
      </c>
      <c r="I37" s="164">
        <v>1</v>
      </c>
      <c r="J37" s="166">
        <f>365/7*20</f>
        <v>1042.8571428571429</v>
      </c>
      <c r="K37" s="16">
        <f t="shared" ref="K37:K68" si="1">G37*I37/J37</f>
        <v>7.1729612085520422E-2</v>
      </c>
      <c r="L37" s="19" t="s">
        <v>663</v>
      </c>
      <c r="M37" s="14" t="s">
        <v>664</v>
      </c>
      <c r="N37" s="30"/>
    </row>
    <row r="38" spans="1:14" ht="90" x14ac:dyDescent="0.25">
      <c r="A38" s="18" t="s">
        <v>244</v>
      </c>
      <c r="B38" s="18">
        <v>5.0999999999999996</v>
      </c>
      <c r="C38" s="18" t="s">
        <v>240</v>
      </c>
      <c r="D38" s="14" t="s">
        <v>245</v>
      </c>
      <c r="E38" s="14" t="s">
        <v>688</v>
      </c>
      <c r="F38" s="14" t="s">
        <v>689</v>
      </c>
      <c r="G38" s="16">
        <v>391.99327102803733</v>
      </c>
      <c r="H38" s="29">
        <v>1</v>
      </c>
      <c r="I38" s="154">
        <v>1</v>
      </c>
      <c r="J38" s="158">
        <f>365/7*10</f>
        <v>521.42857142857144</v>
      </c>
      <c r="K38" s="16">
        <f t="shared" si="1"/>
        <v>0.75176791704007151</v>
      </c>
      <c r="L38" s="14" t="s">
        <v>690</v>
      </c>
      <c r="M38" s="26" t="s">
        <v>691</v>
      </c>
      <c r="N38" s="22"/>
    </row>
    <row r="39" spans="1:14" ht="78.75" x14ac:dyDescent="0.25">
      <c r="A39" s="18" t="s">
        <v>244</v>
      </c>
      <c r="B39" s="18">
        <v>5.0999999999999996</v>
      </c>
      <c r="C39" s="18" t="s">
        <v>240</v>
      </c>
      <c r="D39" s="14" t="s">
        <v>692</v>
      </c>
      <c r="E39" s="14" t="s">
        <v>688</v>
      </c>
      <c r="F39" s="14" t="s">
        <v>689</v>
      </c>
      <c r="G39" s="16">
        <v>669.17906542056062</v>
      </c>
      <c r="H39" s="29">
        <v>1</v>
      </c>
      <c r="I39" s="154">
        <v>1</v>
      </c>
      <c r="J39" s="158">
        <f>365/7*10</f>
        <v>521.42857142857144</v>
      </c>
      <c r="K39" s="16">
        <f t="shared" si="1"/>
        <v>1.2833571117654587</v>
      </c>
      <c r="L39" s="14" t="s">
        <v>693</v>
      </c>
      <c r="M39" s="14" t="s">
        <v>694</v>
      </c>
      <c r="N39" s="41"/>
    </row>
    <row r="40" spans="1:14" ht="78.75" x14ac:dyDescent="0.25">
      <c r="A40" s="18" t="s">
        <v>244</v>
      </c>
      <c r="B40" s="18">
        <v>5.0999999999999996</v>
      </c>
      <c r="C40" s="18" t="s">
        <v>240</v>
      </c>
      <c r="D40" s="14" t="s">
        <v>351</v>
      </c>
      <c r="E40" s="14" t="s">
        <v>688</v>
      </c>
      <c r="F40" s="14" t="s">
        <v>689</v>
      </c>
      <c r="G40" s="16">
        <v>530.58616822429906</v>
      </c>
      <c r="H40" s="29">
        <v>1</v>
      </c>
      <c r="I40" s="154">
        <v>1</v>
      </c>
      <c r="J40" s="158">
        <f>365/7*10</f>
        <v>521.42857142857144</v>
      </c>
      <c r="K40" s="16">
        <f t="shared" si="1"/>
        <v>1.0175625144027654</v>
      </c>
      <c r="L40" s="14" t="s">
        <v>695</v>
      </c>
      <c r="M40" s="14" t="s">
        <v>696</v>
      </c>
      <c r="N40" s="14"/>
    </row>
    <row r="41" spans="1:14" ht="33.75" x14ac:dyDescent="0.25">
      <c r="A41" s="22" t="s">
        <v>244</v>
      </c>
      <c r="B41" s="26">
        <v>5.0999999999999996</v>
      </c>
      <c r="C41" s="18" t="s">
        <v>240</v>
      </c>
      <c r="D41" s="22" t="s">
        <v>697</v>
      </c>
      <c r="E41" s="22" t="s">
        <v>698</v>
      </c>
      <c r="F41" s="36" t="s">
        <v>1270</v>
      </c>
      <c r="G41" s="155">
        <v>54.194766355140182</v>
      </c>
      <c r="H41" s="156">
        <v>1</v>
      </c>
      <c r="I41" s="157">
        <v>1</v>
      </c>
      <c r="J41" s="158">
        <f>365/7*5</f>
        <v>260.71428571428572</v>
      </c>
      <c r="K41" s="16">
        <f t="shared" si="1"/>
        <v>0.20787033670464727</v>
      </c>
      <c r="L41" s="14" t="s">
        <v>699</v>
      </c>
      <c r="M41" s="18" t="s">
        <v>700</v>
      </c>
      <c r="N41" s="31"/>
    </row>
    <row r="42" spans="1:14" ht="33.75" x14ac:dyDescent="0.25">
      <c r="A42" s="18" t="s">
        <v>244</v>
      </c>
      <c r="B42" s="18">
        <v>5.2</v>
      </c>
      <c r="C42" s="18" t="s">
        <v>240</v>
      </c>
      <c r="D42" s="14" t="s">
        <v>245</v>
      </c>
      <c r="E42" s="14" t="s">
        <v>248</v>
      </c>
      <c r="F42" s="14" t="s">
        <v>249</v>
      </c>
      <c r="G42" s="16">
        <v>5.8479697828139754</v>
      </c>
      <c r="H42" s="29"/>
      <c r="I42" s="154">
        <v>1</v>
      </c>
      <c r="J42" s="152">
        <f>365/7*5</f>
        <v>260.71428571428572</v>
      </c>
      <c r="K42" s="16">
        <f t="shared" si="1"/>
        <v>2.2430569029971412E-2</v>
      </c>
      <c r="L42" s="14" t="s">
        <v>375</v>
      </c>
      <c r="M42" s="35" t="s">
        <v>250</v>
      </c>
      <c r="N42" s="19"/>
    </row>
    <row r="43" spans="1:14" ht="33.75" x14ac:dyDescent="0.25">
      <c r="A43" s="18" t="s">
        <v>244</v>
      </c>
      <c r="B43" s="18">
        <v>5.2</v>
      </c>
      <c r="C43" s="18" t="s">
        <v>240</v>
      </c>
      <c r="D43" s="14" t="s">
        <v>245</v>
      </c>
      <c r="E43" s="14" t="s">
        <v>248</v>
      </c>
      <c r="F43" s="14" t="s">
        <v>249</v>
      </c>
      <c r="G43" s="16">
        <v>5.8479697828139754</v>
      </c>
      <c r="H43" s="29"/>
      <c r="I43" s="154">
        <v>1</v>
      </c>
      <c r="J43" s="152">
        <f>365/7*5</f>
        <v>260.71428571428572</v>
      </c>
      <c r="K43" s="16">
        <f t="shared" si="1"/>
        <v>2.2430569029971412E-2</v>
      </c>
      <c r="L43" s="14" t="s">
        <v>376</v>
      </c>
      <c r="M43" s="35" t="s">
        <v>250</v>
      </c>
      <c r="N43" s="19"/>
    </row>
    <row r="44" spans="1:14" ht="67.5" x14ac:dyDescent="0.25">
      <c r="A44" s="18" t="s">
        <v>244</v>
      </c>
      <c r="B44" s="18">
        <v>5.2</v>
      </c>
      <c r="C44" s="18" t="s">
        <v>240</v>
      </c>
      <c r="D44" s="14" t="s">
        <v>252</v>
      </c>
      <c r="E44" s="14" t="s">
        <v>253</v>
      </c>
      <c r="F44" s="18" t="s">
        <v>27</v>
      </c>
      <c r="G44" s="16">
        <v>69.112370160528798</v>
      </c>
      <c r="H44" s="29">
        <v>2</v>
      </c>
      <c r="I44" s="29">
        <v>1</v>
      </c>
      <c r="J44" s="152">
        <f>365/7*10</f>
        <v>521.42857142857144</v>
      </c>
      <c r="K44" s="16">
        <f t="shared" si="1"/>
        <v>0.13254427154074017</v>
      </c>
      <c r="L44" s="14" t="s">
        <v>387</v>
      </c>
      <c r="M44" s="14" t="s">
        <v>388</v>
      </c>
      <c r="N44" s="19"/>
    </row>
    <row r="45" spans="1:14" ht="33.75" x14ac:dyDescent="0.25">
      <c r="A45" s="22" t="s">
        <v>244</v>
      </c>
      <c r="B45" s="26">
        <v>5.2</v>
      </c>
      <c r="C45" s="18" t="s">
        <v>240</v>
      </c>
      <c r="D45" s="14" t="s">
        <v>252</v>
      </c>
      <c r="E45" s="14" t="s">
        <v>391</v>
      </c>
      <c r="F45" s="14" t="s">
        <v>27</v>
      </c>
      <c r="G45" s="16">
        <v>7.4428706326723324</v>
      </c>
      <c r="H45" s="29">
        <v>1</v>
      </c>
      <c r="I45" s="154">
        <v>2</v>
      </c>
      <c r="J45" s="152">
        <f>365/7*7</f>
        <v>365</v>
      </c>
      <c r="K45" s="16">
        <f t="shared" si="1"/>
        <v>4.0782852781766202E-2</v>
      </c>
      <c r="L45" s="14" t="s">
        <v>392</v>
      </c>
      <c r="M45" s="14" t="s">
        <v>1263</v>
      </c>
      <c r="N45" s="22"/>
    </row>
    <row r="46" spans="1:14" ht="45" x14ac:dyDescent="0.25">
      <c r="A46" s="18" t="s">
        <v>244</v>
      </c>
      <c r="B46" s="18">
        <v>5.2</v>
      </c>
      <c r="C46" s="18" t="s">
        <v>240</v>
      </c>
      <c r="D46" s="14" t="s">
        <v>252</v>
      </c>
      <c r="E46" s="19" t="s">
        <v>259</v>
      </c>
      <c r="F46" s="20" t="s">
        <v>255</v>
      </c>
      <c r="G46" s="15">
        <v>10.632672332389046</v>
      </c>
      <c r="H46" s="164">
        <v>1</v>
      </c>
      <c r="I46" s="165">
        <v>4</v>
      </c>
      <c r="J46" s="166">
        <f>365/7*2</f>
        <v>104.28571428571429</v>
      </c>
      <c r="K46" s="16">
        <f t="shared" si="1"/>
        <v>0.40782852781766199</v>
      </c>
      <c r="L46" s="19" t="s">
        <v>401</v>
      </c>
      <c r="M46" s="43" t="s">
        <v>402</v>
      </c>
      <c r="N46" s="19"/>
    </row>
    <row r="47" spans="1:14" ht="67.5" x14ac:dyDescent="0.25">
      <c r="A47" s="19" t="s">
        <v>244</v>
      </c>
      <c r="B47" s="1">
        <v>5.2</v>
      </c>
      <c r="C47" s="18" t="s">
        <v>240</v>
      </c>
      <c r="D47" s="37" t="s">
        <v>264</v>
      </c>
      <c r="E47" s="14" t="s">
        <v>253</v>
      </c>
      <c r="F47" s="18" t="s">
        <v>27</v>
      </c>
      <c r="G47" s="16">
        <v>69.112370160528798</v>
      </c>
      <c r="H47" s="29">
        <v>2</v>
      </c>
      <c r="I47" s="29">
        <v>1</v>
      </c>
      <c r="J47" s="152">
        <f>365/7*10</f>
        <v>521.42857142857144</v>
      </c>
      <c r="K47" s="16">
        <f t="shared" si="1"/>
        <v>0.13254427154074017</v>
      </c>
      <c r="L47" s="14" t="s">
        <v>387</v>
      </c>
      <c r="M47" s="14" t="s">
        <v>388</v>
      </c>
      <c r="N47" s="30"/>
    </row>
    <row r="48" spans="1:14" ht="33.75" x14ac:dyDescent="0.25">
      <c r="A48" s="22" t="s">
        <v>244</v>
      </c>
      <c r="B48" s="26">
        <v>5.2</v>
      </c>
      <c r="C48" s="18" t="s">
        <v>240</v>
      </c>
      <c r="D48" s="37" t="s">
        <v>264</v>
      </c>
      <c r="E48" s="14" t="s">
        <v>391</v>
      </c>
      <c r="F48" s="14" t="s">
        <v>27</v>
      </c>
      <c r="G48" s="16">
        <v>7.4428706326723324</v>
      </c>
      <c r="H48" s="29">
        <v>1</v>
      </c>
      <c r="I48" s="154">
        <v>2</v>
      </c>
      <c r="J48" s="152">
        <f>365/7*7</f>
        <v>365</v>
      </c>
      <c r="K48" s="16">
        <f t="shared" si="1"/>
        <v>4.0782852781766202E-2</v>
      </c>
      <c r="L48" s="14" t="s">
        <v>392</v>
      </c>
      <c r="M48" s="14" t="s">
        <v>1263</v>
      </c>
      <c r="N48" s="22"/>
    </row>
    <row r="49" spans="1:14" ht="33.75" x14ac:dyDescent="0.25">
      <c r="A49" s="22" t="s">
        <v>244</v>
      </c>
      <c r="B49" s="26">
        <v>5.2</v>
      </c>
      <c r="C49" s="22" t="s">
        <v>240</v>
      </c>
      <c r="D49" s="14" t="s">
        <v>339</v>
      </c>
      <c r="E49" s="14" t="s">
        <v>610</v>
      </c>
      <c r="F49" s="22" t="s">
        <v>255</v>
      </c>
      <c r="G49" s="155">
        <v>18.075542965061377</v>
      </c>
      <c r="H49" s="156">
        <v>1</v>
      </c>
      <c r="I49" s="156">
        <v>2</v>
      </c>
      <c r="J49" s="158">
        <f>365/7*5</f>
        <v>260.71428571428572</v>
      </c>
      <c r="K49" s="16">
        <f t="shared" si="1"/>
        <v>0.13866169945800508</v>
      </c>
      <c r="L49" s="22" t="s">
        <v>611</v>
      </c>
      <c r="M49" s="26" t="s">
        <v>612</v>
      </c>
      <c r="N49" s="22"/>
    </row>
    <row r="50" spans="1:14" ht="33.75" x14ac:dyDescent="0.25">
      <c r="A50" s="18" t="s">
        <v>244</v>
      </c>
      <c r="B50" s="18">
        <v>5.2</v>
      </c>
      <c r="C50" s="22" t="s">
        <v>240</v>
      </c>
      <c r="D50" s="14" t="s">
        <v>339</v>
      </c>
      <c r="E50" s="14" t="s">
        <v>329</v>
      </c>
      <c r="F50" s="22" t="s">
        <v>255</v>
      </c>
      <c r="G50" s="155">
        <v>5.3163361661945228</v>
      </c>
      <c r="H50" s="156">
        <v>1</v>
      </c>
      <c r="I50" s="156">
        <v>2</v>
      </c>
      <c r="J50" s="158">
        <f>365/7*5</f>
        <v>260.71428571428572</v>
      </c>
      <c r="K50" s="16">
        <f t="shared" si="1"/>
        <v>4.0782852781766202E-2</v>
      </c>
      <c r="L50" s="22" t="s">
        <v>613</v>
      </c>
      <c r="M50" s="26" t="s">
        <v>614</v>
      </c>
      <c r="N50" s="46"/>
    </row>
    <row r="51" spans="1:14" ht="33.75" x14ac:dyDescent="0.25">
      <c r="A51" s="22" t="s">
        <v>244</v>
      </c>
      <c r="B51" s="26">
        <v>5.2</v>
      </c>
      <c r="C51" s="22" t="s">
        <v>240</v>
      </c>
      <c r="D51" s="14" t="s">
        <v>339</v>
      </c>
      <c r="E51" s="14" t="s">
        <v>341</v>
      </c>
      <c r="F51" s="22" t="s">
        <v>255</v>
      </c>
      <c r="G51" s="155">
        <v>1.2759206798866856</v>
      </c>
      <c r="H51" s="156">
        <v>1</v>
      </c>
      <c r="I51" s="156">
        <v>2</v>
      </c>
      <c r="J51" s="158">
        <f>365/7*5</f>
        <v>260.71428571428572</v>
      </c>
      <c r="K51" s="16">
        <f t="shared" si="1"/>
        <v>9.7878846676238886E-3</v>
      </c>
      <c r="L51" s="22" t="s">
        <v>615</v>
      </c>
      <c r="M51" s="26" t="s">
        <v>616</v>
      </c>
      <c r="N51" s="22"/>
    </row>
    <row r="52" spans="1:14" ht="22.5" x14ac:dyDescent="0.25">
      <c r="A52" s="18" t="s">
        <v>244</v>
      </c>
      <c r="B52" s="18">
        <v>5.2</v>
      </c>
      <c r="C52" s="18" t="s">
        <v>240</v>
      </c>
      <c r="D52" s="14" t="s">
        <v>339</v>
      </c>
      <c r="E52" s="14" t="s">
        <v>342</v>
      </c>
      <c r="F52" s="22" t="s">
        <v>75</v>
      </c>
      <c r="G52" s="155">
        <v>5.3163361661945228</v>
      </c>
      <c r="H52" s="156">
        <v>1</v>
      </c>
      <c r="I52" s="156">
        <v>1</v>
      </c>
      <c r="J52" s="158">
        <f>365/7*5</f>
        <v>260.71428571428572</v>
      </c>
      <c r="K52" s="16">
        <f t="shared" si="1"/>
        <v>2.0391426390883101E-2</v>
      </c>
      <c r="L52" s="22" t="s">
        <v>617</v>
      </c>
      <c r="M52" s="14" t="s">
        <v>618</v>
      </c>
      <c r="N52" s="19"/>
    </row>
    <row r="53" spans="1:14" ht="22.5" x14ac:dyDescent="0.25">
      <c r="A53" s="18" t="s">
        <v>244</v>
      </c>
      <c r="B53" s="18">
        <v>5.2</v>
      </c>
      <c r="C53" s="22" t="s">
        <v>240</v>
      </c>
      <c r="D53" s="14" t="s">
        <v>339</v>
      </c>
      <c r="E53" s="14" t="s">
        <v>619</v>
      </c>
      <c r="F53" s="22" t="s">
        <v>75</v>
      </c>
      <c r="G53" s="155">
        <v>4.2530689329556184</v>
      </c>
      <c r="H53" s="156">
        <v>1</v>
      </c>
      <c r="I53" s="156">
        <v>1</v>
      </c>
      <c r="J53" s="158">
        <f>365/7*2</f>
        <v>104.28571428571429</v>
      </c>
      <c r="K53" s="16">
        <f t="shared" si="1"/>
        <v>4.0782852781766202E-2</v>
      </c>
      <c r="L53" s="22" t="s">
        <v>620</v>
      </c>
      <c r="M53" s="26" t="s">
        <v>621</v>
      </c>
      <c r="N53" s="1"/>
    </row>
    <row r="54" spans="1:14" ht="33.75" x14ac:dyDescent="0.25">
      <c r="A54" s="22" t="s">
        <v>244</v>
      </c>
      <c r="B54" s="26">
        <v>5.2</v>
      </c>
      <c r="C54" s="22" t="s">
        <v>240</v>
      </c>
      <c r="D54" s="14" t="s">
        <v>339</v>
      </c>
      <c r="E54" s="14" t="s">
        <v>343</v>
      </c>
      <c r="F54" s="22" t="s">
        <v>249</v>
      </c>
      <c r="G54" s="155">
        <v>6.379603399433428</v>
      </c>
      <c r="H54" s="156">
        <v>1</v>
      </c>
      <c r="I54" s="157">
        <v>2</v>
      </c>
      <c r="J54" s="158">
        <f>365/7*4</f>
        <v>208.57142857142858</v>
      </c>
      <c r="K54" s="16">
        <f t="shared" si="1"/>
        <v>6.117427917264931E-2</v>
      </c>
      <c r="L54" s="22" t="s">
        <v>625</v>
      </c>
      <c r="M54" s="35" t="s">
        <v>344</v>
      </c>
      <c r="N54" s="19"/>
    </row>
    <row r="55" spans="1:14" ht="67.5" x14ac:dyDescent="0.25">
      <c r="A55" s="19" t="s">
        <v>244</v>
      </c>
      <c r="B55" s="1">
        <v>5.2</v>
      </c>
      <c r="C55" s="18" t="s">
        <v>240</v>
      </c>
      <c r="D55" s="4" t="s">
        <v>351</v>
      </c>
      <c r="E55" s="14" t="s">
        <v>253</v>
      </c>
      <c r="F55" s="18" t="s">
        <v>27</v>
      </c>
      <c r="G55" s="29">
        <v>69.112370160528798</v>
      </c>
      <c r="H55" s="29">
        <v>2</v>
      </c>
      <c r="I55" s="29">
        <v>1</v>
      </c>
      <c r="J55" s="152">
        <f>365/7*10</f>
        <v>521.42857142857144</v>
      </c>
      <c r="K55" s="16">
        <f t="shared" si="1"/>
        <v>0.13254427154074017</v>
      </c>
      <c r="L55" s="14" t="s">
        <v>387</v>
      </c>
      <c r="M55" s="14" t="s">
        <v>388</v>
      </c>
      <c r="N55" s="30"/>
    </row>
    <row r="56" spans="1:14" ht="33.75" x14ac:dyDescent="0.25">
      <c r="A56" s="22" t="s">
        <v>244</v>
      </c>
      <c r="B56" s="26">
        <v>5.2</v>
      </c>
      <c r="C56" s="18" t="s">
        <v>240</v>
      </c>
      <c r="D56" s="4" t="s">
        <v>351</v>
      </c>
      <c r="E56" s="14" t="s">
        <v>391</v>
      </c>
      <c r="F56" s="14" t="s">
        <v>27</v>
      </c>
      <c r="G56" s="16">
        <v>7.4428706326723324</v>
      </c>
      <c r="H56" s="29">
        <v>1</v>
      </c>
      <c r="I56" s="154">
        <v>2</v>
      </c>
      <c r="J56" s="152">
        <f>365/7*7</f>
        <v>365</v>
      </c>
      <c r="K56" s="16">
        <f t="shared" si="1"/>
        <v>4.0782852781766202E-2</v>
      </c>
      <c r="L56" s="14" t="s">
        <v>392</v>
      </c>
      <c r="M56" s="14" t="s">
        <v>1263</v>
      </c>
      <c r="N56" s="19"/>
    </row>
    <row r="57" spans="1:14" ht="45" x14ac:dyDescent="0.25">
      <c r="A57" s="38" t="s">
        <v>244</v>
      </c>
      <c r="B57" s="38">
        <v>5.2</v>
      </c>
      <c r="C57" s="18" t="s">
        <v>240</v>
      </c>
      <c r="D57" s="19" t="s">
        <v>350</v>
      </c>
      <c r="E57" s="19" t="s">
        <v>360</v>
      </c>
      <c r="F57" s="22" t="s">
        <v>75</v>
      </c>
      <c r="G57" s="155">
        <v>26.581680830972616</v>
      </c>
      <c r="H57" s="156">
        <v>1</v>
      </c>
      <c r="I57" s="156">
        <v>1</v>
      </c>
      <c r="J57" s="166">
        <f>365/7*8</f>
        <v>417.14285714285717</v>
      </c>
      <c r="K57" s="16">
        <f t="shared" si="1"/>
        <v>6.3723207471509696E-2</v>
      </c>
      <c r="L57" s="19" t="s">
        <v>665</v>
      </c>
      <c r="M57" s="43" t="s">
        <v>666</v>
      </c>
      <c r="N57" s="22"/>
    </row>
    <row r="58" spans="1:14" ht="67.5" x14ac:dyDescent="0.25">
      <c r="A58" s="38" t="s">
        <v>244</v>
      </c>
      <c r="B58" s="38">
        <v>5.2</v>
      </c>
      <c r="C58" s="18" t="s">
        <v>240</v>
      </c>
      <c r="D58" s="19" t="s">
        <v>350</v>
      </c>
      <c r="E58" s="19" t="s">
        <v>667</v>
      </c>
      <c r="F58" s="14" t="s">
        <v>27</v>
      </c>
      <c r="G58" s="16">
        <v>13.82247403210576</v>
      </c>
      <c r="H58" s="29">
        <v>1</v>
      </c>
      <c r="I58" s="29">
        <v>1</v>
      </c>
      <c r="J58" s="158">
        <f>365/7*16</f>
        <v>834.28571428571433</v>
      </c>
      <c r="K58" s="16">
        <f t="shared" si="1"/>
        <v>1.6568033942592517E-2</v>
      </c>
      <c r="L58" s="19" t="s">
        <v>668</v>
      </c>
      <c r="M58" s="14" t="s">
        <v>669</v>
      </c>
      <c r="N58" s="22"/>
    </row>
    <row r="59" spans="1:14" ht="67.5" x14ac:dyDescent="0.25">
      <c r="A59" s="38" t="s">
        <v>244</v>
      </c>
      <c r="B59" s="38">
        <v>5.2</v>
      </c>
      <c r="C59" s="18" t="s">
        <v>240</v>
      </c>
      <c r="D59" s="19" t="s">
        <v>350</v>
      </c>
      <c r="E59" s="19" t="s">
        <v>361</v>
      </c>
      <c r="F59" s="22" t="s">
        <v>255</v>
      </c>
      <c r="G59" s="155">
        <v>37.214353163361658</v>
      </c>
      <c r="H59" s="156">
        <v>2</v>
      </c>
      <c r="I59" s="156">
        <v>2</v>
      </c>
      <c r="J59" s="166">
        <f>365/7*4</f>
        <v>208.57142857142858</v>
      </c>
      <c r="K59" s="16">
        <f t="shared" si="1"/>
        <v>0.35684996184045426</v>
      </c>
      <c r="L59" s="19" t="s">
        <v>670</v>
      </c>
      <c r="M59" s="14" t="s">
        <v>671</v>
      </c>
      <c r="N59" s="19"/>
    </row>
    <row r="60" spans="1:14" ht="33.75" x14ac:dyDescent="0.25">
      <c r="A60" s="38" t="s">
        <v>244</v>
      </c>
      <c r="B60" s="38">
        <v>5.2</v>
      </c>
      <c r="C60" s="18" t="s">
        <v>240</v>
      </c>
      <c r="D60" s="19" t="s">
        <v>350</v>
      </c>
      <c r="E60" s="19" t="s">
        <v>362</v>
      </c>
      <c r="F60" s="22" t="s">
        <v>75</v>
      </c>
      <c r="G60" s="15">
        <v>8.5061378659112368</v>
      </c>
      <c r="H60" s="164">
        <v>1</v>
      </c>
      <c r="I60" s="164">
        <v>3</v>
      </c>
      <c r="J60" s="166">
        <f>365/7*8</f>
        <v>417.14285714285717</v>
      </c>
      <c r="K60" s="16">
        <f t="shared" si="1"/>
        <v>6.117427917264931E-2</v>
      </c>
      <c r="L60" s="19" t="s">
        <v>672</v>
      </c>
      <c r="M60" s="43" t="s">
        <v>673</v>
      </c>
      <c r="N60" s="106"/>
    </row>
    <row r="61" spans="1:14" ht="33.75" x14ac:dyDescent="0.25">
      <c r="A61" s="38" t="s">
        <v>244</v>
      </c>
      <c r="B61" s="38">
        <v>5.2</v>
      </c>
      <c r="C61" s="18" t="s">
        <v>240</v>
      </c>
      <c r="D61" s="19" t="s">
        <v>350</v>
      </c>
      <c r="E61" s="19" t="s">
        <v>674</v>
      </c>
      <c r="F61" s="22" t="s">
        <v>75</v>
      </c>
      <c r="G61" s="15">
        <v>12.227573182247403</v>
      </c>
      <c r="H61" s="164">
        <v>1</v>
      </c>
      <c r="I61" s="164">
        <v>3</v>
      </c>
      <c r="J61" s="166">
        <f>365/7*8</f>
        <v>417.14285714285717</v>
      </c>
      <c r="K61" s="16">
        <f t="shared" si="1"/>
        <v>8.793802631068337E-2</v>
      </c>
      <c r="L61" s="19" t="s">
        <v>675</v>
      </c>
      <c r="M61" s="43" t="s">
        <v>676</v>
      </c>
      <c r="N61" s="30"/>
    </row>
    <row r="62" spans="1:14" ht="33.75" x14ac:dyDescent="0.25">
      <c r="A62" s="38" t="s">
        <v>244</v>
      </c>
      <c r="B62" s="38">
        <v>5.2</v>
      </c>
      <c r="C62" s="18" t="s">
        <v>240</v>
      </c>
      <c r="D62" s="19" t="s">
        <v>350</v>
      </c>
      <c r="E62" s="19" t="s">
        <v>363</v>
      </c>
      <c r="F62" s="22" t="s">
        <v>75</v>
      </c>
      <c r="G62" s="15">
        <v>21.265344664778091</v>
      </c>
      <c r="H62" s="164">
        <v>1</v>
      </c>
      <c r="I62" s="164">
        <v>3</v>
      </c>
      <c r="J62" s="166">
        <f>365/7*8</f>
        <v>417.14285714285717</v>
      </c>
      <c r="K62" s="16">
        <f t="shared" si="1"/>
        <v>0.15293569793162326</v>
      </c>
      <c r="L62" s="19" t="s">
        <v>677</v>
      </c>
      <c r="M62" s="14" t="s">
        <v>678</v>
      </c>
      <c r="N62" s="22"/>
    </row>
    <row r="63" spans="1:14" ht="90" x14ac:dyDescent="0.25">
      <c r="A63" s="38" t="s">
        <v>244</v>
      </c>
      <c r="B63" s="38">
        <v>5.2</v>
      </c>
      <c r="C63" s="18" t="s">
        <v>240</v>
      </c>
      <c r="D63" s="19" t="s">
        <v>350</v>
      </c>
      <c r="E63" s="19" t="s">
        <v>364</v>
      </c>
      <c r="F63" s="22" t="s">
        <v>75</v>
      </c>
      <c r="G63" s="15">
        <v>3.189801699716714</v>
      </c>
      <c r="H63" s="164">
        <v>2</v>
      </c>
      <c r="I63" s="164">
        <v>3</v>
      </c>
      <c r="J63" s="166">
        <f>365/7*8</f>
        <v>417.14285714285717</v>
      </c>
      <c r="K63" s="16">
        <f t="shared" si="1"/>
        <v>2.2940354689743491E-2</v>
      </c>
      <c r="L63" s="19" t="s">
        <v>679</v>
      </c>
      <c r="M63" s="14" t="s">
        <v>365</v>
      </c>
      <c r="N63" s="22"/>
    </row>
    <row r="64" spans="1:14" ht="45" x14ac:dyDescent="0.25">
      <c r="A64" s="38" t="s">
        <v>244</v>
      </c>
      <c r="B64" s="38">
        <v>5.2</v>
      </c>
      <c r="C64" s="18" t="s">
        <v>240</v>
      </c>
      <c r="D64" s="19" t="s">
        <v>350</v>
      </c>
      <c r="E64" s="19" t="s">
        <v>355</v>
      </c>
      <c r="F64" s="19" t="s">
        <v>75</v>
      </c>
      <c r="G64" s="15">
        <v>7.4428706326723324</v>
      </c>
      <c r="H64" s="164">
        <v>1</v>
      </c>
      <c r="I64" s="164">
        <v>2</v>
      </c>
      <c r="J64" s="166">
        <f>365/7*4</f>
        <v>208.57142857142858</v>
      </c>
      <c r="K64" s="16">
        <f t="shared" si="1"/>
        <v>7.1369992368090857E-2</v>
      </c>
      <c r="L64" s="1" t="s">
        <v>680</v>
      </c>
      <c r="M64" s="26" t="s">
        <v>681</v>
      </c>
      <c r="N64" s="22"/>
    </row>
    <row r="65" spans="1:14" ht="33.75" x14ac:dyDescent="0.25">
      <c r="A65" s="18" t="s">
        <v>244</v>
      </c>
      <c r="B65" s="18">
        <v>5.2</v>
      </c>
      <c r="C65" s="18" t="s">
        <v>240</v>
      </c>
      <c r="D65" s="22" t="s">
        <v>350</v>
      </c>
      <c r="E65" s="22" t="s">
        <v>682</v>
      </c>
      <c r="F65" s="22" t="s">
        <v>75</v>
      </c>
      <c r="G65" s="155">
        <v>5.3163361661945228</v>
      </c>
      <c r="H65" s="156">
        <v>2</v>
      </c>
      <c r="I65" s="156">
        <v>4</v>
      </c>
      <c r="J65" s="158">
        <f>365/7*4</f>
        <v>208.57142857142858</v>
      </c>
      <c r="K65" s="16">
        <f t="shared" si="1"/>
        <v>0.1019571319544155</v>
      </c>
      <c r="L65" s="22" t="s">
        <v>683</v>
      </c>
      <c r="M65" s="26" t="s">
        <v>684</v>
      </c>
      <c r="N65" s="22"/>
    </row>
    <row r="66" spans="1:14" ht="78.75" x14ac:dyDescent="0.25">
      <c r="A66" s="18" t="s">
        <v>244</v>
      </c>
      <c r="B66" s="18">
        <v>5.3</v>
      </c>
      <c r="C66" s="18" t="s">
        <v>240</v>
      </c>
      <c r="D66" s="19" t="s">
        <v>280</v>
      </c>
      <c r="E66" s="22" t="s">
        <v>281</v>
      </c>
      <c r="F66" s="36" t="s">
        <v>75</v>
      </c>
      <c r="G66" s="155">
        <v>51.602489626556022</v>
      </c>
      <c r="H66" s="157">
        <v>1</v>
      </c>
      <c r="I66" s="29">
        <v>1</v>
      </c>
      <c r="J66" s="158">
        <f>365/7*8</f>
        <v>417.14285714285717</v>
      </c>
      <c r="K66" s="16">
        <f t="shared" si="1"/>
        <v>0.12370459841982608</v>
      </c>
      <c r="L66" s="19" t="s">
        <v>450</v>
      </c>
      <c r="M66" s="14" t="s">
        <v>451</v>
      </c>
      <c r="N66" s="19"/>
    </row>
    <row r="67" spans="1:14" ht="45" x14ac:dyDescent="0.25">
      <c r="A67" s="18" t="s">
        <v>244</v>
      </c>
      <c r="B67" s="18">
        <v>5.3</v>
      </c>
      <c r="C67" s="18" t="s">
        <v>240</v>
      </c>
      <c r="D67" s="19" t="s">
        <v>280</v>
      </c>
      <c r="E67" s="19" t="s">
        <v>282</v>
      </c>
      <c r="F67" s="20" t="s">
        <v>452</v>
      </c>
      <c r="G67" s="155">
        <v>378.06721991701244</v>
      </c>
      <c r="H67" s="164">
        <v>1</v>
      </c>
      <c r="I67" s="166">
        <v>1</v>
      </c>
      <c r="J67" s="166">
        <f>365/7*10</f>
        <v>521.42857142857144</v>
      </c>
      <c r="K67" s="16">
        <f t="shared" si="1"/>
        <v>0.72506042175865393</v>
      </c>
      <c r="L67" s="19" t="s">
        <v>453</v>
      </c>
      <c r="M67" s="14" t="s">
        <v>454</v>
      </c>
      <c r="N67" s="22"/>
    </row>
    <row r="68" spans="1:14" ht="101.25" x14ac:dyDescent="0.25">
      <c r="A68" s="18" t="s">
        <v>244</v>
      </c>
      <c r="B68" s="47">
        <v>5.3</v>
      </c>
      <c r="C68" s="18" t="s">
        <v>240</v>
      </c>
      <c r="D68" s="1" t="s">
        <v>280</v>
      </c>
      <c r="E68" s="1" t="s">
        <v>283</v>
      </c>
      <c r="F68" s="20" t="s">
        <v>452</v>
      </c>
      <c r="G68" s="155">
        <v>209.56929460580915</v>
      </c>
      <c r="H68" s="164">
        <v>1</v>
      </c>
      <c r="I68" s="166">
        <v>1</v>
      </c>
      <c r="J68" s="166">
        <f>365/7*10</f>
        <v>521.42857142857144</v>
      </c>
      <c r="K68" s="16">
        <f t="shared" si="1"/>
        <v>0.40191371568237372</v>
      </c>
      <c r="L68" s="1" t="s">
        <v>455</v>
      </c>
      <c r="M68" s="14" t="s">
        <v>456</v>
      </c>
      <c r="N68" s="19"/>
    </row>
    <row r="69" spans="1:14" ht="56.25" x14ac:dyDescent="0.25">
      <c r="A69" s="18" t="s">
        <v>244</v>
      </c>
      <c r="B69" s="18">
        <v>5.3</v>
      </c>
      <c r="C69" s="18" t="s">
        <v>240</v>
      </c>
      <c r="D69" s="19" t="s">
        <v>280</v>
      </c>
      <c r="E69" s="19" t="s">
        <v>284</v>
      </c>
      <c r="F69" s="20" t="s">
        <v>457</v>
      </c>
      <c r="G69" s="155">
        <v>241.16265560165976</v>
      </c>
      <c r="H69" s="164">
        <v>1</v>
      </c>
      <c r="I69" s="166">
        <v>1</v>
      </c>
      <c r="J69" s="166">
        <f>365/7*8</f>
        <v>417.14285714285717</v>
      </c>
      <c r="K69" s="16">
        <f t="shared" ref="K69:K100" si="2">G69*I69/J69</f>
        <v>0.57812965383959525</v>
      </c>
      <c r="L69" s="19" t="s">
        <v>458</v>
      </c>
      <c r="M69" s="14" t="s">
        <v>459</v>
      </c>
      <c r="N69" s="22"/>
    </row>
    <row r="70" spans="1:14" ht="45" x14ac:dyDescent="0.25">
      <c r="A70" s="18" t="s">
        <v>244</v>
      </c>
      <c r="B70" s="18">
        <v>5.3</v>
      </c>
      <c r="C70" s="18" t="s">
        <v>240</v>
      </c>
      <c r="D70" s="19" t="s">
        <v>280</v>
      </c>
      <c r="E70" s="19" t="s">
        <v>285</v>
      </c>
      <c r="F70" s="20" t="s">
        <v>75</v>
      </c>
      <c r="G70" s="15">
        <v>20.009128630705394</v>
      </c>
      <c r="H70" s="164">
        <v>1</v>
      </c>
      <c r="I70" s="166">
        <v>1</v>
      </c>
      <c r="J70" s="166">
        <f>365/7*6</f>
        <v>312.85714285714289</v>
      </c>
      <c r="K70" s="16">
        <f t="shared" si="2"/>
        <v>6.3956118910930476E-2</v>
      </c>
      <c r="L70" s="19" t="s">
        <v>460</v>
      </c>
      <c r="M70" s="14" t="s">
        <v>461</v>
      </c>
      <c r="N70" s="22"/>
    </row>
    <row r="71" spans="1:14" ht="45" x14ac:dyDescent="0.25">
      <c r="A71" s="18" t="s">
        <v>244</v>
      </c>
      <c r="B71" s="18">
        <v>5.3</v>
      </c>
      <c r="C71" s="18" t="s">
        <v>240</v>
      </c>
      <c r="D71" s="19" t="s">
        <v>280</v>
      </c>
      <c r="E71" s="19" t="s">
        <v>286</v>
      </c>
      <c r="F71" s="20" t="s">
        <v>75</v>
      </c>
      <c r="G71" s="15">
        <v>20.009128630705394</v>
      </c>
      <c r="H71" s="164">
        <v>1</v>
      </c>
      <c r="I71" s="166">
        <v>1</v>
      </c>
      <c r="J71" s="166">
        <f>365/7*6</f>
        <v>312.85714285714289</v>
      </c>
      <c r="K71" s="16">
        <f t="shared" si="2"/>
        <v>6.3956118910930476E-2</v>
      </c>
      <c r="L71" s="19" t="s">
        <v>460</v>
      </c>
      <c r="M71" s="14" t="s">
        <v>462</v>
      </c>
      <c r="N71" s="22"/>
    </row>
    <row r="72" spans="1:14" ht="45" x14ac:dyDescent="0.25">
      <c r="A72" s="18" t="s">
        <v>244</v>
      </c>
      <c r="B72" s="18">
        <v>5.3</v>
      </c>
      <c r="C72" s="18" t="s">
        <v>240</v>
      </c>
      <c r="D72" s="22" t="s">
        <v>280</v>
      </c>
      <c r="E72" s="22" t="s">
        <v>463</v>
      </c>
      <c r="F72" s="36" t="s">
        <v>75</v>
      </c>
      <c r="G72" s="155">
        <v>13.690456431535271</v>
      </c>
      <c r="H72" s="156">
        <v>1</v>
      </c>
      <c r="I72" s="157">
        <v>1</v>
      </c>
      <c r="J72" s="158">
        <f>365/7*15</f>
        <v>782.14285714285722</v>
      </c>
      <c r="K72" s="16">
        <f t="shared" si="2"/>
        <v>1.7503779912465184E-2</v>
      </c>
      <c r="L72" s="22" t="s">
        <v>464</v>
      </c>
      <c r="M72" s="14" t="s">
        <v>465</v>
      </c>
      <c r="N72" s="22"/>
    </row>
    <row r="73" spans="1:14" ht="56.25" x14ac:dyDescent="0.25">
      <c r="A73" s="38" t="s">
        <v>244</v>
      </c>
      <c r="B73" s="38">
        <v>5.3</v>
      </c>
      <c r="C73" s="18" t="s">
        <v>240</v>
      </c>
      <c r="D73" s="22" t="s">
        <v>293</v>
      </c>
      <c r="E73" s="19" t="s">
        <v>287</v>
      </c>
      <c r="F73" s="20" t="s">
        <v>277</v>
      </c>
      <c r="G73" s="15">
        <v>26.327800829875521</v>
      </c>
      <c r="H73" s="164">
        <v>1</v>
      </c>
      <c r="I73" s="166">
        <v>1</v>
      </c>
      <c r="J73" s="166">
        <f>365/7*10</f>
        <v>521.42857142857144</v>
      </c>
      <c r="K73" s="16">
        <f t="shared" si="2"/>
        <v>5.0491672824418805E-2</v>
      </c>
      <c r="L73" s="22" t="s">
        <v>466</v>
      </c>
      <c r="M73" s="1" t="s">
        <v>288</v>
      </c>
      <c r="N73" s="30"/>
    </row>
    <row r="74" spans="1:14" ht="33.75" x14ac:dyDescent="0.25">
      <c r="A74" s="19" t="s">
        <v>244</v>
      </c>
      <c r="B74" s="18">
        <v>5.3</v>
      </c>
      <c r="C74" s="18" t="s">
        <v>240</v>
      </c>
      <c r="D74" s="19" t="s">
        <v>314</v>
      </c>
      <c r="E74" s="19" t="s">
        <v>316</v>
      </c>
      <c r="F74" s="20" t="s">
        <v>249</v>
      </c>
      <c r="G74" s="15">
        <v>29.487136929460583</v>
      </c>
      <c r="H74" s="164">
        <v>1</v>
      </c>
      <c r="I74" s="164">
        <v>1</v>
      </c>
      <c r="J74" s="166">
        <f>365/7*5</f>
        <v>260.71428571428572</v>
      </c>
      <c r="K74" s="16">
        <f t="shared" si="2"/>
        <v>0.11310134712669812</v>
      </c>
      <c r="L74" s="19" t="s">
        <v>552</v>
      </c>
      <c r="M74" s="14" t="s">
        <v>553</v>
      </c>
      <c r="N74" s="19"/>
    </row>
    <row r="75" spans="1:14" ht="67.5" x14ac:dyDescent="0.25">
      <c r="A75" s="19" t="s">
        <v>244</v>
      </c>
      <c r="B75" s="1">
        <v>5.3</v>
      </c>
      <c r="C75" s="18" t="s">
        <v>240</v>
      </c>
      <c r="D75" s="19" t="s">
        <v>319</v>
      </c>
      <c r="E75" s="19" t="s">
        <v>320</v>
      </c>
      <c r="F75" s="20" t="s">
        <v>249</v>
      </c>
      <c r="G75" s="15">
        <v>94.769551867219917</v>
      </c>
      <c r="H75" s="164">
        <v>1</v>
      </c>
      <c r="I75" s="165">
        <v>1</v>
      </c>
      <c r="J75" s="166">
        <f>365/7*8</f>
        <v>417.14285714285717</v>
      </c>
      <c r="K75" s="16">
        <f t="shared" si="2"/>
        <v>0.2271872818734724</v>
      </c>
      <c r="L75" s="19" t="s">
        <v>570</v>
      </c>
      <c r="M75" s="14" t="s">
        <v>321</v>
      </c>
      <c r="N75" s="30"/>
    </row>
    <row r="76" spans="1:14" ht="22.5" x14ac:dyDescent="0.25">
      <c r="A76" s="18" t="s">
        <v>244</v>
      </c>
      <c r="B76" s="18">
        <v>5.3</v>
      </c>
      <c r="C76" s="18" t="s">
        <v>240</v>
      </c>
      <c r="D76" s="22" t="s">
        <v>350</v>
      </c>
      <c r="E76" s="22" t="s">
        <v>685</v>
      </c>
      <c r="F76" s="22" t="s">
        <v>249</v>
      </c>
      <c r="G76" s="155">
        <v>36.858921161825727</v>
      </c>
      <c r="H76" s="156">
        <v>1</v>
      </c>
      <c r="I76" s="156">
        <v>1</v>
      </c>
      <c r="J76" s="158">
        <f>365/7*10</f>
        <v>521.42857142857144</v>
      </c>
      <c r="K76" s="16">
        <f t="shared" si="2"/>
        <v>7.0688341954186329E-2</v>
      </c>
      <c r="L76" s="22" t="s">
        <v>686</v>
      </c>
      <c r="M76" s="14" t="s">
        <v>687</v>
      </c>
      <c r="N76" s="41"/>
    </row>
    <row r="77" spans="1:14" ht="33.75" x14ac:dyDescent="0.25">
      <c r="A77" s="18" t="s">
        <v>244</v>
      </c>
      <c r="B77" s="18">
        <v>5.4</v>
      </c>
      <c r="C77" s="18" t="s">
        <v>240</v>
      </c>
      <c r="D77" s="19" t="s">
        <v>272</v>
      </c>
      <c r="E77" s="19" t="s">
        <v>273</v>
      </c>
      <c r="F77" s="36" t="s">
        <v>75</v>
      </c>
      <c r="G77" s="155">
        <v>10.275482093663912</v>
      </c>
      <c r="H77" s="156">
        <v>12</v>
      </c>
      <c r="I77" s="157">
        <v>2</v>
      </c>
      <c r="J77" s="158">
        <f>365/7*5</f>
        <v>260.71428571428572</v>
      </c>
      <c r="K77" s="16">
        <f t="shared" si="2"/>
        <v>7.8825616060983442E-2</v>
      </c>
      <c r="L77" s="19" t="s">
        <v>430</v>
      </c>
      <c r="M77" s="14" t="s">
        <v>431</v>
      </c>
      <c r="N77" s="41"/>
    </row>
    <row r="78" spans="1:14" ht="22.5" x14ac:dyDescent="0.25">
      <c r="A78" s="18" t="s">
        <v>244</v>
      </c>
      <c r="B78" s="18">
        <v>5.4</v>
      </c>
      <c r="C78" s="18" t="s">
        <v>240</v>
      </c>
      <c r="D78" s="19" t="s">
        <v>272</v>
      </c>
      <c r="E78" s="19" t="s">
        <v>274</v>
      </c>
      <c r="F78" s="36" t="s">
        <v>75</v>
      </c>
      <c r="G78" s="155">
        <v>5.1377410468319562</v>
      </c>
      <c r="H78" s="156">
        <v>4</v>
      </c>
      <c r="I78" s="157">
        <v>2</v>
      </c>
      <c r="J78" s="158">
        <f>365/7*5</f>
        <v>260.71428571428572</v>
      </c>
      <c r="K78" s="16">
        <f t="shared" si="2"/>
        <v>3.9412808030491721E-2</v>
      </c>
      <c r="L78" s="19" t="s">
        <v>432</v>
      </c>
      <c r="M78" s="26" t="s">
        <v>433</v>
      </c>
      <c r="N78" s="19"/>
    </row>
    <row r="79" spans="1:14" ht="67.5" x14ac:dyDescent="0.25">
      <c r="A79" s="18" t="s">
        <v>244</v>
      </c>
      <c r="B79" s="18">
        <v>5.4</v>
      </c>
      <c r="C79" s="18" t="s">
        <v>240</v>
      </c>
      <c r="D79" s="19" t="s">
        <v>272</v>
      </c>
      <c r="E79" s="19" t="s">
        <v>275</v>
      </c>
      <c r="F79" s="36" t="s">
        <v>75</v>
      </c>
      <c r="G79" s="155">
        <v>15.41322314049587</v>
      </c>
      <c r="H79" s="156">
        <v>32</v>
      </c>
      <c r="I79" s="157">
        <v>1</v>
      </c>
      <c r="J79" s="158">
        <f>20*(365/7)</f>
        <v>1042.8571428571429</v>
      </c>
      <c r="K79" s="16">
        <f t="shared" si="2"/>
        <v>1.4779803011434394E-2</v>
      </c>
      <c r="L79" s="19" t="s">
        <v>434</v>
      </c>
      <c r="M79" s="14" t="s">
        <v>435</v>
      </c>
      <c r="N79" s="41"/>
    </row>
    <row r="80" spans="1:14" ht="33.75" x14ac:dyDescent="0.25">
      <c r="A80" s="18" t="s">
        <v>244</v>
      </c>
      <c r="B80" s="18">
        <v>5.4</v>
      </c>
      <c r="C80" s="18" t="s">
        <v>240</v>
      </c>
      <c r="D80" s="22" t="s">
        <v>272</v>
      </c>
      <c r="E80" s="22" t="s">
        <v>276</v>
      </c>
      <c r="F80" s="36" t="s">
        <v>21</v>
      </c>
      <c r="G80" s="155">
        <v>2.5688705234159781</v>
      </c>
      <c r="H80" s="156">
        <v>2</v>
      </c>
      <c r="I80" s="157">
        <v>1</v>
      </c>
      <c r="J80" s="158">
        <f>365/7*20</f>
        <v>1042.8571428571429</v>
      </c>
      <c r="K80" s="16">
        <f t="shared" si="2"/>
        <v>2.4633005019057326E-3</v>
      </c>
      <c r="L80" s="22" t="s">
        <v>436</v>
      </c>
      <c r="M80" s="26" t="s">
        <v>437</v>
      </c>
      <c r="N80" s="22"/>
    </row>
    <row r="81" spans="1:14" ht="67.5" x14ac:dyDescent="0.25">
      <c r="A81" s="18" t="s">
        <v>244</v>
      </c>
      <c r="B81" s="18">
        <v>5.4</v>
      </c>
      <c r="C81" s="18" t="s">
        <v>240</v>
      </c>
      <c r="D81" s="19" t="s">
        <v>272</v>
      </c>
      <c r="E81" s="22" t="s">
        <v>438</v>
      </c>
      <c r="F81" s="36" t="s">
        <v>75</v>
      </c>
      <c r="G81" s="155">
        <v>0.51377410468319562</v>
      </c>
      <c r="H81" s="156">
        <v>1</v>
      </c>
      <c r="I81" s="157">
        <v>8</v>
      </c>
      <c r="J81" s="158">
        <f>365/7*2</f>
        <v>104.28571428571429</v>
      </c>
      <c r="K81" s="16">
        <f t="shared" si="2"/>
        <v>3.9412808030491714E-2</v>
      </c>
      <c r="L81" s="22" t="s">
        <v>439</v>
      </c>
      <c r="M81" s="14" t="s">
        <v>440</v>
      </c>
      <c r="N81" s="19"/>
    </row>
    <row r="82" spans="1:14" ht="67.5" x14ac:dyDescent="0.25">
      <c r="A82" s="18" t="s">
        <v>244</v>
      </c>
      <c r="B82" s="18">
        <v>5.4</v>
      </c>
      <c r="C82" s="18" t="s">
        <v>240</v>
      </c>
      <c r="D82" s="19" t="s">
        <v>272</v>
      </c>
      <c r="E82" s="22" t="s">
        <v>278</v>
      </c>
      <c r="F82" s="36" t="s">
        <v>75</v>
      </c>
      <c r="G82" s="155">
        <v>6.1652892561983474</v>
      </c>
      <c r="H82" s="156">
        <v>4</v>
      </c>
      <c r="I82" s="157">
        <v>2</v>
      </c>
      <c r="J82" s="158">
        <f>365/7*2</f>
        <v>104.28571428571429</v>
      </c>
      <c r="K82" s="16">
        <f t="shared" si="2"/>
        <v>0.11823842409147516</v>
      </c>
      <c r="L82" s="22" t="s">
        <v>441</v>
      </c>
      <c r="M82" s="14" t="s">
        <v>442</v>
      </c>
      <c r="N82" s="19"/>
    </row>
    <row r="83" spans="1:14" ht="22.5" x14ac:dyDescent="0.25">
      <c r="A83" s="18" t="s">
        <v>244</v>
      </c>
      <c r="B83" s="18">
        <v>5.4</v>
      </c>
      <c r="C83" s="18" t="s">
        <v>240</v>
      </c>
      <c r="D83" s="22" t="s">
        <v>272</v>
      </c>
      <c r="E83" s="22" t="s">
        <v>443</v>
      </c>
      <c r="F83" s="22" t="s">
        <v>27</v>
      </c>
      <c r="G83" s="155">
        <v>4.6239669421487601</v>
      </c>
      <c r="H83" s="156">
        <v>2</v>
      </c>
      <c r="I83" s="157">
        <v>1</v>
      </c>
      <c r="J83" s="152">
        <f>365/7*20</f>
        <v>1042.8571428571429</v>
      </c>
      <c r="K83" s="16">
        <f t="shared" si="2"/>
        <v>4.4339409034303175E-3</v>
      </c>
      <c r="L83" s="22" t="s">
        <v>444</v>
      </c>
      <c r="M83" s="18" t="s">
        <v>279</v>
      </c>
      <c r="N83" s="22"/>
    </row>
    <row r="84" spans="1:14" ht="22.5" x14ac:dyDescent="0.25">
      <c r="A84" s="18" t="s">
        <v>244</v>
      </c>
      <c r="B84" s="18">
        <v>5.4</v>
      </c>
      <c r="C84" s="18" t="s">
        <v>240</v>
      </c>
      <c r="D84" s="22" t="s">
        <v>272</v>
      </c>
      <c r="E84" s="22" t="s">
        <v>445</v>
      </c>
      <c r="F84" s="36" t="s">
        <v>21</v>
      </c>
      <c r="G84" s="155">
        <v>3.5964187327823693</v>
      </c>
      <c r="H84" s="156">
        <v>1</v>
      </c>
      <c r="I84" s="157">
        <v>1</v>
      </c>
      <c r="J84" s="158">
        <f>365/7*20</f>
        <v>1042.8571428571429</v>
      </c>
      <c r="K84" s="16">
        <f t="shared" si="2"/>
        <v>3.4486207026680252E-3</v>
      </c>
      <c r="L84" s="22" t="s">
        <v>446</v>
      </c>
      <c r="M84" s="26" t="s">
        <v>447</v>
      </c>
      <c r="N84" s="19"/>
    </row>
    <row r="85" spans="1:14" ht="56.25" x14ac:dyDescent="0.25">
      <c r="A85" s="18" t="s">
        <v>244</v>
      </c>
      <c r="B85" s="18">
        <v>5.4</v>
      </c>
      <c r="C85" s="18" t="s">
        <v>240</v>
      </c>
      <c r="D85" s="14" t="s">
        <v>289</v>
      </c>
      <c r="E85" s="14" t="s">
        <v>290</v>
      </c>
      <c r="F85" s="36" t="s">
        <v>75</v>
      </c>
      <c r="G85" s="155">
        <v>61.652892561983478</v>
      </c>
      <c r="H85" s="164">
        <v>5</v>
      </c>
      <c r="I85" s="166">
        <v>1</v>
      </c>
      <c r="J85" s="166">
        <f>365/7*8</f>
        <v>417.14285714285717</v>
      </c>
      <c r="K85" s="16">
        <f t="shared" si="2"/>
        <v>0.14779803011434395</v>
      </c>
      <c r="L85" s="19" t="s">
        <v>467</v>
      </c>
      <c r="M85" s="26" t="s">
        <v>468</v>
      </c>
      <c r="N85" s="19"/>
    </row>
    <row r="86" spans="1:14" x14ac:dyDescent="0.25">
      <c r="A86" s="18" t="s">
        <v>244</v>
      </c>
      <c r="B86" s="18">
        <v>5.4</v>
      </c>
      <c r="C86" s="18" t="s">
        <v>240</v>
      </c>
      <c r="D86" s="14" t="s">
        <v>289</v>
      </c>
      <c r="E86" s="14" t="s">
        <v>291</v>
      </c>
      <c r="F86" s="19" t="s">
        <v>75</v>
      </c>
      <c r="G86" s="15">
        <v>0</v>
      </c>
      <c r="H86" s="164">
        <v>2</v>
      </c>
      <c r="I86" s="166">
        <v>1</v>
      </c>
      <c r="J86" s="166">
        <f>365/7*8</f>
        <v>417.14285714285717</v>
      </c>
      <c r="K86" s="16">
        <f t="shared" si="2"/>
        <v>0</v>
      </c>
      <c r="L86" s="19" t="s">
        <v>469</v>
      </c>
      <c r="M86" s="1" t="s">
        <v>1266</v>
      </c>
      <c r="N86" s="19"/>
    </row>
    <row r="87" spans="1:14" ht="45" x14ac:dyDescent="0.25">
      <c r="A87" s="18" t="s">
        <v>244</v>
      </c>
      <c r="B87" s="18">
        <v>5.4</v>
      </c>
      <c r="C87" s="18" t="s">
        <v>240</v>
      </c>
      <c r="D87" s="19" t="s">
        <v>289</v>
      </c>
      <c r="E87" s="19" t="s">
        <v>292</v>
      </c>
      <c r="F87" s="20" t="s">
        <v>249</v>
      </c>
      <c r="G87" s="164">
        <v>46.239669421487605</v>
      </c>
      <c r="H87" s="164">
        <v>5</v>
      </c>
      <c r="I87" s="164">
        <v>1</v>
      </c>
      <c r="J87" s="166">
        <f>365/7*15</f>
        <v>782.14285714285722</v>
      </c>
      <c r="K87" s="16">
        <f t="shared" si="2"/>
        <v>5.9119212045737571E-2</v>
      </c>
      <c r="L87" s="19" t="s">
        <v>470</v>
      </c>
      <c r="M87" s="14" t="s">
        <v>471</v>
      </c>
      <c r="N87" s="19"/>
    </row>
    <row r="88" spans="1:14" ht="22.5" x14ac:dyDescent="0.25">
      <c r="A88" s="18" t="s">
        <v>244</v>
      </c>
      <c r="B88" s="18">
        <v>5.4</v>
      </c>
      <c r="C88" s="18" t="s">
        <v>240</v>
      </c>
      <c r="D88" s="22" t="s">
        <v>289</v>
      </c>
      <c r="E88" s="22" t="s">
        <v>472</v>
      </c>
      <c r="F88" s="36" t="s">
        <v>27</v>
      </c>
      <c r="G88" s="155">
        <v>6.1652892561983474</v>
      </c>
      <c r="H88" s="156">
        <v>1</v>
      </c>
      <c r="I88" s="156">
        <v>1</v>
      </c>
      <c r="J88" s="158">
        <f>365/7*15</f>
        <v>782.14285714285722</v>
      </c>
      <c r="K88" s="16">
        <f t="shared" si="2"/>
        <v>7.8825616060983431E-3</v>
      </c>
      <c r="L88" s="22" t="s">
        <v>473</v>
      </c>
      <c r="M88" s="48" t="s">
        <v>474</v>
      </c>
      <c r="N88" s="19"/>
    </row>
    <row r="89" spans="1:14" ht="22.5" x14ac:dyDescent="0.25">
      <c r="A89" s="22" t="s">
        <v>244</v>
      </c>
      <c r="B89" s="18">
        <v>5.4</v>
      </c>
      <c r="C89" s="18" t="s">
        <v>240</v>
      </c>
      <c r="D89" s="22" t="s">
        <v>289</v>
      </c>
      <c r="E89" s="22" t="s">
        <v>475</v>
      </c>
      <c r="F89" s="36" t="s">
        <v>75</v>
      </c>
      <c r="G89" s="155">
        <v>1.5413223140495869</v>
      </c>
      <c r="H89" s="156">
        <v>1</v>
      </c>
      <c r="I89" s="156">
        <v>2</v>
      </c>
      <c r="J89" s="158">
        <f>365/7*5</f>
        <v>260.71428571428572</v>
      </c>
      <c r="K89" s="16">
        <f t="shared" si="2"/>
        <v>1.1823842409147516E-2</v>
      </c>
      <c r="L89" s="22" t="s">
        <v>476</v>
      </c>
      <c r="M89" s="14" t="s">
        <v>477</v>
      </c>
      <c r="N89" s="19"/>
    </row>
    <row r="90" spans="1:14" ht="22.5" x14ac:dyDescent="0.25">
      <c r="A90" s="22" t="s">
        <v>244</v>
      </c>
      <c r="B90" s="18">
        <v>5.4</v>
      </c>
      <c r="C90" s="18" t="s">
        <v>240</v>
      </c>
      <c r="D90" s="22" t="s">
        <v>289</v>
      </c>
      <c r="E90" s="22" t="s">
        <v>294</v>
      </c>
      <c r="F90" s="36" t="s">
        <v>75</v>
      </c>
      <c r="G90" s="155">
        <v>1.5413223140495869</v>
      </c>
      <c r="H90" s="156">
        <v>1</v>
      </c>
      <c r="I90" s="156">
        <v>1</v>
      </c>
      <c r="J90" s="158">
        <f>365/7*5</f>
        <v>260.71428571428572</v>
      </c>
      <c r="K90" s="16">
        <f t="shared" si="2"/>
        <v>5.9119212045737578E-3</v>
      </c>
      <c r="L90" s="22" t="s">
        <v>478</v>
      </c>
      <c r="M90" s="14" t="s">
        <v>479</v>
      </c>
      <c r="N90" s="19"/>
    </row>
    <row r="91" spans="1:14" ht="22.5" x14ac:dyDescent="0.25">
      <c r="A91" s="22" t="s">
        <v>244</v>
      </c>
      <c r="B91" s="18">
        <v>5.4</v>
      </c>
      <c r="C91" s="18" t="s">
        <v>240</v>
      </c>
      <c r="D91" s="22" t="s">
        <v>289</v>
      </c>
      <c r="E91" s="22" t="s">
        <v>295</v>
      </c>
      <c r="F91" s="36" t="s">
        <v>75</v>
      </c>
      <c r="G91" s="155">
        <v>2.0550964187327825</v>
      </c>
      <c r="H91" s="156">
        <v>1</v>
      </c>
      <c r="I91" s="156">
        <v>1</v>
      </c>
      <c r="J91" s="158">
        <f>365/7*5</f>
        <v>260.71428571428572</v>
      </c>
      <c r="K91" s="16">
        <f t="shared" si="2"/>
        <v>7.8825616060983431E-3</v>
      </c>
      <c r="L91" s="22" t="s">
        <v>480</v>
      </c>
      <c r="M91" s="14" t="s">
        <v>481</v>
      </c>
      <c r="N91" s="19"/>
    </row>
    <row r="92" spans="1:14" ht="45" x14ac:dyDescent="0.25">
      <c r="A92" s="19" t="s">
        <v>244</v>
      </c>
      <c r="B92" s="18">
        <v>5.4</v>
      </c>
      <c r="C92" s="18" t="s">
        <v>240</v>
      </c>
      <c r="D92" s="19" t="s">
        <v>289</v>
      </c>
      <c r="E92" s="19" t="s">
        <v>296</v>
      </c>
      <c r="F92" s="20" t="s">
        <v>75</v>
      </c>
      <c r="G92" s="164">
        <v>1.7982093663911847</v>
      </c>
      <c r="H92" s="164">
        <v>1</v>
      </c>
      <c r="I92" s="164">
        <v>2</v>
      </c>
      <c r="J92" s="166">
        <f>365/7*5</f>
        <v>260.71428571428572</v>
      </c>
      <c r="K92" s="16">
        <f t="shared" si="2"/>
        <v>1.3794482810672101E-2</v>
      </c>
      <c r="L92" s="19" t="s">
        <v>482</v>
      </c>
      <c r="M92" s="14" t="s">
        <v>483</v>
      </c>
      <c r="N92" s="30"/>
    </row>
    <row r="93" spans="1:14" ht="22.5" x14ac:dyDescent="0.25">
      <c r="A93" s="22" t="s">
        <v>244</v>
      </c>
      <c r="B93" s="18">
        <v>5.4</v>
      </c>
      <c r="C93" s="18" t="s">
        <v>240</v>
      </c>
      <c r="D93" s="22" t="s">
        <v>289</v>
      </c>
      <c r="E93" s="22" t="s">
        <v>484</v>
      </c>
      <c r="F93" s="36" t="s">
        <v>75</v>
      </c>
      <c r="G93" s="155">
        <v>1.0275482093663912</v>
      </c>
      <c r="H93" s="156">
        <v>1</v>
      </c>
      <c r="I93" s="156">
        <v>1</v>
      </c>
      <c r="J93" s="158">
        <f>365/7*5</f>
        <v>260.71428571428572</v>
      </c>
      <c r="K93" s="16">
        <f t="shared" si="2"/>
        <v>3.9412808030491716E-3</v>
      </c>
      <c r="L93" s="22" t="s">
        <v>485</v>
      </c>
      <c r="M93" s="14" t="s">
        <v>486</v>
      </c>
      <c r="N93" s="30"/>
    </row>
    <row r="94" spans="1:14" ht="101.25" x14ac:dyDescent="0.25">
      <c r="A94" s="19" t="s">
        <v>244</v>
      </c>
      <c r="B94" s="18">
        <v>5.4</v>
      </c>
      <c r="C94" s="18" t="s">
        <v>240</v>
      </c>
      <c r="D94" s="19" t="s">
        <v>289</v>
      </c>
      <c r="E94" s="19" t="s">
        <v>299</v>
      </c>
      <c r="F94" s="20" t="s">
        <v>255</v>
      </c>
      <c r="G94" s="15">
        <v>3.5964187327823693</v>
      </c>
      <c r="H94" s="164">
        <v>1</v>
      </c>
      <c r="I94" s="164">
        <v>1</v>
      </c>
      <c r="J94" s="166">
        <f>365/7*20</f>
        <v>1042.8571428571429</v>
      </c>
      <c r="K94" s="16">
        <f t="shared" si="2"/>
        <v>3.4486207026680252E-3</v>
      </c>
      <c r="L94" s="19" t="s">
        <v>487</v>
      </c>
      <c r="M94" s="14" t="s">
        <v>300</v>
      </c>
      <c r="N94" s="19"/>
    </row>
    <row r="95" spans="1:14" ht="67.5" x14ac:dyDescent="0.25">
      <c r="A95" s="18" t="s">
        <v>244</v>
      </c>
      <c r="B95" s="18">
        <v>5.4</v>
      </c>
      <c r="C95" s="18" t="s">
        <v>240</v>
      </c>
      <c r="D95" s="22" t="s">
        <v>289</v>
      </c>
      <c r="E95" s="22" t="s">
        <v>297</v>
      </c>
      <c r="F95" s="22" t="s">
        <v>75</v>
      </c>
      <c r="G95" s="156">
        <v>4.8808539944903586</v>
      </c>
      <c r="H95" s="156"/>
      <c r="I95" s="157">
        <v>1</v>
      </c>
      <c r="J95" s="158">
        <f>365/7*35</f>
        <v>1825</v>
      </c>
      <c r="K95" s="16">
        <f t="shared" si="2"/>
        <v>2.6744405449262241E-3</v>
      </c>
      <c r="L95" s="22" t="s">
        <v>488</v>
      </c>
      <c r="M95" s="26" t="s">
        <v>489</v>
      </c>
      <c r="N95" s="30"/>
    </row>
    <row r="96" spans="1:14" ht="33.75" x14ac:dyDescent="0.25">
      <c r="A96" s="22" t="s">
        <v>244</v>
      </c>
      <c r="B96" s="18">
        <v>5.4</v>
      </c>
      <c r="C96" s="18" t="s">
        <v>240</v>
      </c>
      <c r="D96" s="22" t="s">
        <v>289</v>
      </c>
      <c r="E96" s="22" t="s">
        <v>298</v>
      </c>
      <c r="F96" s="22" t="s">
        <v>75</v>
      </c>
      <c r="G96" s="155">
        <v>2.5688705234159781</v>
      </c>
      <c r="H96" s="156"/>
      <c r="I96" s="157">
        <v>1</v>
      </c>
      <c r="J96" s="158">
        <f>365/7*15</f>
        <v>782.14285714285722</v>
      </c>
      <c r="K96" s="16">
        <f t="shared" si="2"/>
        <v>3.2844006692076427E-3</v>
      </c>
      <c r="L96" s="22" t="s">
        <v>490</v>
      </c>
      <c r="M96" s="14" t="s">
        <v>491</v>
      </c>
      <c r="N96" s="30"/>
    </row>
    <row r="97" spans="1:14" ht="78.75" x14ac:dyDescent="0.25">
      <c r="A97" s="18" t="s">
        <v>244</v>
      </c>
      <c r="B97" s="18">
        <v>5.4</v>
      </c>
      <c r="C97" s="18" t="s">
        <v>240</v>
      </c>
      <c r="D97" s="22" t="s">
        <v>289</v>
      </c>
      <c r="E97" s="22" t="s">
        <v>492</v>
      </c>
      <c r="F97" s="22" t="s">
        <v>249</v>
      </c>
      <c r="G97" s="155">
        <v>16.44077134986226</v>
      </c>
      <c r="H97" s="156">
        <v>3</v>
      </c>
      <c r="I97" s="156">
        <v>1</v>
      </c>
      <c r="J97" s="158">
        <f>365/7*35</f>
        <v>1825</v>
      </c>
      <c r="K97" s="16">
        <f t="shared" si="2"/>
        <v>9.0086418355409641E-3</v>
      </c>
      <c r="L97" s="22" t="s">
        <v>493</v>
      </c>
      <c r="M97" s="14" t="s">
        <v>494</v>
      </c>
      <c r="N97" s="41"/>
    </row>
    <row r="98" spans="1:14" ht="45" x14ac:dyDescent="0.25">
      <c r="A98" s="18" t="s">
        <v>244</v>
      </c>
      <c r="B98" s="18">
        <v>5.4</v>
      </c>
      <c r="C98" s="18" t="s">
        <v>240</v>
      </c>
      <c r="D98" s="22" t="s">
        <v>289</v>
      </c>
      <c r="E98" s="22" t="s">
        <v>495</v>
      </c>
      <c r="F98" s="22" t="s">
        <v>75</v>
      </c>
      <c r="G98" s="155">
        <v>3.5964187327823693</v>
      </c>
      <c r="H98" s="156">
        <v>1</v>
      </c>
      <c r="I98" s="156">
        <v>1</v>
      </c>
      <c r="J98" s="158">
        <f>365/7*15</f>
        <v>782.14285714285722</v>
      </c>
      <c r="K98" s="16">
        <f t="shared" si="2"/>
        <v>4.5981609368907E-3</v>
      </c>
      <c r="L98" s="22" t="s">
        <v>496</v>
      </c>
      <c r="M98" s="14" t="s">
        <v>497</v>
      </c>
      <c r="N98" s="41"/>
    </row>
    <row r="99" spans="1:14" ht="101.25" x14ac:dyDescent="0.25">
      <c r="A99" s="19" t="s">
        <v>244</v>
      </c>
      <c r="B99" s="18">
        <v>5.4</v>
      </c>
      <c r="C99" s="18" t="s">
        <v>240</v>
      </c>
      <c r="D99" s="19" t="s">
        <v>293</v>
      </c>
      <c r="E99" s="19" t="s">
        <v>301</v>
      </c>
      <c r="F99" s="20" t="s">
        <v>249</v>
      </c>
      <c r="G99" s="164">
        <v>18.495867768595041</v>
      </c>
      <c r="H99" s="164">
        <v>8</v>
      </c>
      <c r="I99" s="164">
        <v>1</v>
      </c>
      <c r="J99" s="166">
        <f>365/7*10</f>
        <v>521.42857142857144</v>
      </c>
      <c r="K99" s="16">
        <f t="shared" si="2"/>
        <v>3.547152722744254E-2</v>
      </c>
      <c r="L99" s="19" t="s">
        <v>498</v>
      </c>
      <c r="M99" s="35" t="s">
        <v>499</v>
      </c>
      <c r="N99" s="26"/>
    </row>
    <row r="100" spans="1:14" ht="45" x14ac:dyDescent="0.25">
      <c r="A100" s="19" t="s">
        <v>244</v>
      </c>
      <c r="B100" s="18">
        <v>5.4</v>
      </c>
      <c r="C100" s="18" t="s">
        <v>240</v>
      </c>
      <c r="D100" s="19" t="s">
        <v>293</v>
      </c>
      <c r="E100" s="19" t="s">
        <v>500</v>
      </c>
      <c r="F100" s="20" t="s">
        <v>75</v>
      </c>
      <c r="G100" s="15">
        <v>0.51377410468319562</v>
      </c>
      <c r="H100" s="164">
        <v>1</v>
      </c>
      <c r="I100" s="164">
        <v>3</v>
      </c>
      <c r="J100" s="166">
        <f>365/7*2</f>
        <v>104.28571428571429</v>
      </c>
      <c r="K100" s="16">
        <f t="shared" si="2"/>
        <v>1.4779803011434394E-2</v>
      </c>
      <c r="L100" s="19" t="s">
        <v>501</v>
      </c>
      <c r="M100" s="14" t="s">
        <v>502</v>
      </c>
      <c r="N100" s="41"/>
    </row>
    <row r="101" spans="1:14" ht="33.75" x14ac:dyDescent="0.25">
      <c r="A101" s="19" t="s">
        <v>244</v>
      </c>
      <c r="B101" s="18">
        <v>5.4</v>
      </c>
      <c r="C101" s="18" t="s">
        <v>240</v>
      </c>
      <c r="D101" s="19" t="s">
        <v>293</v>
      </c>
      <c r="E101" s="19" t="s">
        <v>304</v>
      </c>
      <c r="F101" s="20" t="s">
        <v>75</v>
      </c>
      <c r="G101" s="15">
        <v>3.0826446280991737</v>
      </c>
      <c r="H101" s="164">
        <v>1</v>
      </c>
      <c r="I101" s="164">
        <v>1</v>
      </c>
      <c r="J101" s="166">
        <f>365/7*4</f>
        <v>208.57142857142858</v>
      </c>
      <c r="K101" s="16">
        <f t="shared" ref="K101:K132" si="3">G101*I101/J101</f>
        <v>1.4779803011434394E-2</v>
      </c>
      <c r="L101" s="19" t="s">
        <v>503</v>
      </c>
      <c r="M101" s="14" t="s">
        <v>504</v>
      </c>
      <c r="N101" s="41"/>
    </row>
    <row r="102" spans="1:14" ht="22.5" x14ac:dyDescent="0.25">
      <c r="A102" s="19" t="s">
        <v>244</v>
      </c>
      <c r="B102" s="18">
        <v>5.4</v>
      </c>
      <c r="C102" s="18" t="s">
        <v>240</v>
      </c>
      <c r="D102" s="19" t="s">
        <v>293</v>
      </c>
      <c r="E102" s="22" t="s">
        <v>505</v>
      </c>
      <c r="F102" s="36" t="s">
        <v>75</v>
      </c>
      <c r="G102" s="155">
        <v>10.275482093663912</v>
      </c>
      <c r="H102" s="156">
        <v>1</v>
      </c>
      <c r="I102" s="156">
        <v>1</v>
      </c>
      <c r="J102" s="158">
        <f>365/7*6</f>
        <v>312.85714285714289</v>
      </c>
      <c r="K102" s="16">
        <f t="shared" si="3"/>
        <v>3.2844006692076426E-2</v>
      </c>
      <c r="L102" s="22" t="s">
        <v>506</v>
      </c>
      <c r="M102" s="14" t="s">
        <v>507</v>
      </c>
      <c r="N102" s="19"/>
    </row>
    <row r="103" spans="1:14" ht="33.75" x14ac:dyDescent="0.25">
      <c r="A103" s="22" t="s">
        <v>244</v>
      </c>
      <c r="B103" s="18">
        <v>5.4</v>
      </c>
      <c r="C103" s="22" t="s">
        <v>240</v>
      </c>
      <c r="D103" s="22" t="s">
        <v>293</v>
      </c>
      <c r="E103" s="22" t="s">
        <v>508</v>
      </c>
      <c r="F103" s="36" t="s">
        <v>75</v>
      </c>
      <c r="G103" s="155">
        <v>0.61652892561983474</v>
      </c>
      <c r="H103" s="156">
        <v>1</v>
      </c>
      <c r="I103" s="156">
        <v>1</v>
      </c>
      <c r="J103" s="158">
        <f>365/7*2</f>
        <v>104.28571428571429</v>
      </c>
      <c r="K103" s="16">
        <f t="shared" si="3"/>
        <v>5.9119212045737578E-3</v>
      </c>
      <c r="L103" s="22" t="s">
        <v>509</v>
      </c>
      <c r="M103" s="14" t="s">
        <v>510</v>
      </c>
      <c r="N103" s="22"/>
    </row>
    <row r="104" spans="1:14" ht="33.75" x14ac:dyDescent="0.25">
      <c r="A104" s="19" t="s">
        <v>244</v>
      </c>
      <c r="B104" s="18">
        <v>5.4</v>
      </c>
      <c r="C104" s="18" t="s">
        <v>240</v>
      </c>
      <c r="D104" s="19" t="s">
        <v>293</v>
      </c>
      <c r="E104" s="22" t="s">
        <v>302</v>
      </c>
      <c r="F104" s="36" t="s">
        <v>75</v>
      </c>
      <c r="G104" s="155">
        <v>4.110192837465565</v>
      </c>
      <c r="H104" s="156">
        <v>1</v>
      </c>
      <c r="I104" s="156">
        <v>1</v>
      </c>
      <c r="J104" s="158">
        <f>365/7*35</f>
        <v>1825</v>
      </c>
      <c r="K104" s="16">
        <f t="shared" si="3"/>
        <v>2.252160458885241E-3</v>
      </c>
      <c r="L104" s="22" t="s">
        <v>511</v>
      </c>
      <c r="M104" s="14" t="s">
        <v>512</v>
      </c>
      <c r="N104" s="30"/>
    </row>
    <row r="105" spans="1:14" ht="45" x14ac:dyDescent="0.25">
      <c r="A105" s="18" t="s">
        <v>244</v>
      </c>
      <c r="B105" s="18">
        <v>5.4</v>
      </c>
      <c r="C105" s="18" t="s">
        <v>240</v>
      </c>
      <c r="D105" s="22" t="s">
        <v>293</v>
      </c>
      <c r="E105" s="22" t="s">
        <v>303</v>
      </c>
      <c r="F105" s="22" t="s">
        <v>75</v>
      </c>
      <c r="G105" s="155">
        <v>5.1377410468319562</v>
      </c>
      <c r="H105" s="156">
        <v>1</v>
      </c>
      <c r="I105" s="156">
        <v>1</v>
      </c>
      <c r="J105" s="158">
        <f>365/7*20</f>
        <v>1042.8571428571429</v>
      </c>
      <c r="K105" s="16">
        <f t="shared" si="3"/>
        <v>4.9266010038114651E-3</v>
      </c>
      <c r="L105" s="22" t="s">
        <v>513</v>
      </c>
      <c r="M105" s="14" t="s">
        <v>514</v>
      </c>
      <c r="N105" s="30"/>
    </row>
    <row r="106" spans="1:14" ht="56.25" x14ac:dyDescent="0.25">
      <c r="A106" s="22" t="s">
        <v>244</v>
      </c>
      <c r="B106" s="18">
        <v>5.4</v>
      </c>
      <c r="C106" s="18" t="s">
        <v>240</v>
      </c>
      <c r="D106" s="22" t="s">
        <v>293</v>
      </c>
      <c r="E106" s="22" t="s">
        <v>515</v>
      </c>
      <c r="F106" s="36"/>
      <c r="G106" s="155">
        <v>15.41322314049587</v>
      </c>
      <c r="H106" s="156">
        <v>1</v>
      </c>
      <c r="I106" s="156">
        <v>1</v>
      </c>
      <c r="J106" s="158">
        <f>365/7</f>
        <v>52.142857142857146</v>
      </c>
      <c r="K106" s="16">
        <f t="shared" si="3"/>
        <v>0.2955960602286879</v>
      </c>
      <c r="L106" s="22" t="s">
        <v>516</v>
      </c>
      <c r="M106" s="128"/>
      <c r="N106" s="22"/>
    </row>
    <row r="107" spans="1:14" ht="45" x14ac:dyDescent="0.25">
      <c r="A107" s="18" t="s">
        <v>244</v>
      </c>
      <c r="B107" s="18">
        <v>5.4</v>
      </c>
      <c r="C107" s="18" t="s">
        <v>240</v>
      </c>
      <c r="D107" s="19" t="s">
        <v>293</v>
      </c>
      <c r="E107" s="22" t="s">
        <v>517</v>
      </c>
      <c r="F107" s="36" t="s">
        <v>249</v>
      </c>
      <c r="G107" s="155">
        <v>16.44077134986226</v>
      </c>
      <c r="H107" s="156">
        <v>3</v>
      </c>
      <c r="I107" s="156">
        <v>1</v>
      </c>
      <c r="J107" s="158">
        <f>365/7*35</f>
        <v>1825</v>
      </c>
      <c r="K107" s="16">
        <f t="shared" si="3"/>
        <v>9.0086418355409641E-3</v>
      </c>
      <c r="L107" s="22" t="s">
        <v>518</v>
      </c>
      <c r="M107" s="14" t="s">
        <v>519</v>
      </c>
      <c r="N107" s="26"/>
    </row>
    <row r="108" spans="1:14" ht="67.5" x14ac:dyDescent="0.25">
      <c r="A108" s="19" t="s">
        <v>244</v>
      </c>
      <c r="B108" s="18">
        <v>5.4</v>
      </c>
      <c r="C108" s="18" t="s">
        <v>240</v>
      </c>
      <c r="D108" s="19" t="s">
        <v>293</v>
      </c>
      <c r="E108" s="19" t="s">
        <v>520</v>
      </c>
      <c r="F108" s="20" t="s">
        <v>75</v>
      </c>
      <c r="G108" s="15">
        <v>3.0826446280991737</v>
      </c>
      <c r="H108" s="164">
        <v>3</v>
      </c>
      <c r="I108" s="164">
        <v>1</v>
      </c>
      <c r="J108" s="166">
        <f>365/7*5</f>
        <v>260.71428571428572</v>
      </c>
      <c r="K108" s="16">
        <f t="shared" si="3"/>
        <v>1.1823842409147516E-2</v>
      </c>
      <c r="L108" s="19" t="s">
        <v>521</v>
      </c>
      <c r="M108" s="14" t="s">
        <v>522</v>
      </c>
      <c r="N108" s="19"/>
    </row>
    <row r="109" spans="1:14" ht="22.5" x14ac:dyDescent="0.25">
      <c r="A109" s="22" t="s">
        <v>244</v>
      </c>
      <c r="B109" s="18">
        <v>5.4</v>
      </c>
      <c r="C109" s="22" t="s">
        <v>240</v>
      </c>
      <c r="D109" s="22" t="s">
        <v>293</v>
      </c>
      <c r="E109" s="22" t="s">
        <v>327</v>
      </c>
      <c r="F109" s="36" t="s">
        <v>255</v>
      </c>
      <c r="G109" s="155">
        <v>12.330578512396695</v>
      </c>
      <c r="H109" s="156">
        <v>1</v>
      </c>
      <c r="I109" s="156">
        <v>1</v>
      </c>
      <c r="J109" s="158">
        <f>365/7*5</f>
        <v>260.71428571428572</v>
      </c>
      <c r="K109" s="16">
        <f t="shared" si="3"/>
        <v>4.7295369636590062E-2</v>
      </c>
      <c r="L109" s="22" t="s">
        <v>523</v>
      </c>
      <c r="M109" s="14" t="s">
        <v>524</v>
      </c>
      <c r="N109" s="19"/>
    </row>
    <row r="110" spans="1:14" ht="22.5" x14ac:dyDescent="0.25">
      <c r="A110" s="19" t="s">
        <v>244</v>
      </c>
      <c r="B110" s="1">
        <v>5.4</v>
      </c>
      <c r="C110" s="18" t="s">
        <v>240</v>
      </c>
      <c r="D110" s="19" t="s">
        <v>293</v>
      </c>
      <c r="E110" s="19" t="s">
        <v>261</v>
      </c>
      <c r="F110" s="36" t="s">
        <v>249</v>
      </c>
      <c r="G110" s="155">
        <v>6.1652892561983474</v>
      </c>
      <c r="H110" s="156">
        <v>1</v>
      </c>
      <c r="I110" s="156">
        <v>1</v>
      </c>
      <c r="J110" s="158">
        <f>365/7*15</f>
        <v>782.14285714285722</v>
      </c>
      <c r="K110" s="16">
        <f t="shared" si="3"/>
        <v>7.8825616060983431E-3</v>
      </c>
      <c r="L110" s="19" t="s">
        <v>525</v>
      </c>
      <c r="M110" s="14" t="s">
        <v>526</v>
      </c>
      <c r="N110" s="22"/>
    </row>
    <row r="111" spans="1:14" ht="22.5" x14ac:dyDescent="0.25">
      <c r="A111" s="19" t="s">
        <v>244</v>
      </c>
      <c r="B111" s="1">
        <v>5.4</v>
      </c>
      <c r="C111" s="18" t="s">
        <v>240</v>
      </c>
      <c r="D111" s="19" t="s">
        <v>293</v>
      </c>
      <c r="E111" s="19" t="s">
        <v>307</v>
      </c>
      <c r="F111" s="22" t="s">
        <v>28</v>
      </c>
      <c r="G111" s="155">
        <v>2.2606060606060607</v>
      </c>
      <c r="H111" s="156">
        <v>30</v>
      </c>
      <c r="I111" s="156">
        <v>1</v>
      </c>
      <c r="J111" s="158">
        <f>30/3.5</f>
        <v>8.5714285714285712</v>
      </c>
      <c r="K111" s="16">
        <f t="shared" si="3"/>
        <v>0.26373737373737377</v>
      </c>
      <c r="L111" s="19" t="s">
        <v>527</v>
      </c>
      <c r="M111" s="14" t="s">
        <v>528</v>
      </c>
      <c r="N111" s="22"/>
    </row>
    <row r="112" spans="1:14" ht="45" x14ac:dyDescent="0.25">
      <c r="A112" s="18" t="s">
        <v>244</v>
      </c>
      <c r="B112" s="18">
        <v>5.4</v>
      </c>
      <c r="C112" s="18" t="s">
        <v>240</v>
      </c>
      <c r="D112" s="19" t="s">
        <v>293</v>
      </c>
      <c r="E112" s="19" t="s">
        <v>310</v>
      </c>
      <c r="F112" s="20" t="s">
        <v>75</v>
      </c>
      <c r="G112" s="15">
        <v>1.7468319559228651</v>
      </c>
      <c r="H112" s="164">
        <v>1</v>
      </c>
      <c r="I112" s="164">
        <v>1</v>
      </c>
      <c r="J112" s="166">
        <f>365/7*2</f>
        <v>104.28571428571429</v>
      </c>
      <c r="K112" s="16">
        <f t="shared" si="3"/>
        <v>1.675044341295898E-2</v>
      </c>
      <c r="L112" s="19" t="s">
        <v>529</v>
      </c>
      <c r="M112" s="14" t="s">
        <v>311</v>
      </c>
      <c r="N112" s="22"/>
    </row>
    <row r="113" spans="1:14" ht="33.75" x14ac:dyDescent="0.25">
      <c r="A113" s="18" t="s">
        <v>244</v>
      </c>
      <c r="B113" s="1">
        <v>5.4</v>
      </c>
      <c r="C113" s="18" t="s">
        <v>240</v>
      </c>
      <c r="D113" s="19" t="s">
        <v>293</v>
      </c>
      <c r="E113" s="19" t="s">
        <v>312</v>
      </c>
      <c r="F113" s="20" t="s">
        <v>75</v>
      </c>
      <c r="G113" s="15">
        <v>1.7468319559228651</v>
      </c>
      <c r="H113" s="164">
        <v>1</v>
      </c>
      <c r="I113" s="164">
        <v>1</v>
      </c>
      <c r="J113" s="166">
        <f>365/7*2</f>
        <v>104.28571428571429</v>
      </c>
      <c r="K113" s="16">
        <f t="shared" si="3"/>
        <v>1.675044341295898E-2</v>
      </c>
      <c r="L113" s="19" t="s">
        <v>530</v>
      </c>
      <c r="M113" s="14" t="s">
        <v>313</v>
      </c>
      <c r="N113" s="22"/>
    </row>
    <row r="114" spans="1:14" ht="67.5" x14ac:dyDescent="0.25">
      <c r="A114" s="18" t="s">
        <v>244</v>
      </c>
      <c r="B114" s="18">
        <v>5.4</v>
      </c>
      <c r="C114" s="18" t="s">
        <v>240</v>
      </c>
      <c r="D114" s="19" t="s">
        <v>293</v>
      </c>
      <c r="E114" s="19" t="s">
        <v>531</v>
      </c>
      <c r="F114" s="20" t="s">
        <v>190</v>
      </c>
      <c r="G114" s="164">
        <v>8.2101101928374653</v>
      </c>
      <c r="H114" s="164">
        <v>17</v>
      </c>
      <c r="I114" s="164">
        <v>1</v>
      </c>
      <c r="J114" s="166">
        <f>365/7*5</f>
        <v>260.71428571428572</v>
      </c>
      <c r="K114" s="16">
        <f t="shared" si="3"/>
        <v>3.149083361636288E-2</v>
      </c>
      <c r="L114" s="19" t="s">
        <v>532</v>
      </c>
      <c r="M114" s="14" t="s">
        <v>533</v>
      </c>
      <c r="N114" s="19"/>
    </row>
    <row r="115" spans="1:14" ht="22.5" x14ac:dyDescent="0.25">
      <c r="A115" s="18" t="s">
        <v>244</v>
      </c>
      <c r="B115" s="18">
        <v>5.4</v>
      </c>
      <c r="C115" s="18" t="s">
        <v>240</v>
      </c>
      <c r="D115" s="19" t="s">
        <v>293</v>
      </c>
      <c r="E115" s="19" t="s">
        <v>308</v>
      </c>
      <c r="F115" s="14" t="s">
        <v>75</v>
      </c>
      <c r="G115" s="16">
        <v>2.5688705234159781</v>
      </c>
      <c r="H115" s="29">
        <v>1</v>
      </c>
      <c r="I115" s="29">
        <v>2</v>
      </c>
      <c r="J115" s="152">
        <f>365/7*20</f>
        <v>1042.8571428571429</v>
      </c>
      <c r="K115" s="16">
        <f t="shared" si="3"/>
        <v>4.9266010038114651E-3</v>
      </c>
      <c r="L115" s="14" t="s">
        <v>534</v>
      </c>
      <c r="M115" s="14" t="s">
        <v>309</v>
      </c>
      <c r="N115" s="19"/>
    </row>
    <row r="116" spans="1:14" ht="33.75" x14ac:dyDescent="0.25">
      <c r="A116" s="18" t="s">
        <v>244</v>
      </c>
      <c r="B116" s="1">
        <v>5.4</v>
      </c>
      <c r="C116" s="18" t="s">
        <v>240</v>
      </c>
      <c r="D116" s="19" t="s">
        <v>293</v>
      </c>
      <c r="E116" s="19" t="s">
        <v>305</v>
      </c>
      <c r="F116" s="20" t="s">
        <v>251</v>
      </c>
      <c r="G116" s="15">
        <v>10.778980716253445</v>
      </c>
      <c r="H116" s="164">
        <v>3</v>
      </c>
      <c r="I116" s="164">
        <v>1</v>
      </c>
      <c r="J116" s="166">
        <f>365/7*10</f>
        <v>521.42857142857144</v>
      </c>
      <c r="K116" s="16">
        <f t="shared" si="3"/>
        <v>2.0672017811992908E-2</v>
      </c>
      <c r="L116" s="19" t="s">
        <v>535</v>
      </c>
      <c r="M116" s="14" t="s">
        <v>536</v>
      </c>
      <c r="N116" s="22"/>
    </row>
    <row r="117" spans="1:14" ht="22.5" x14ac:dyDescent="0.25">
      <c r="A117" s="18" t="s">
        <v>244</v>
      </c>
      <c r="B117" s="1">
        <v>5.4</v>
      </c>
      <c r="C117" s="18" t="s">
        <v>240</v>
      </c>
      <c r="D117" s="19" t="s">
        <v>293</v>
      </c>
      <c r="E117" s="19" t="s">
        <v>537</v>
      </c>
      <c r="F117" s="20" t="s">
        <v>251</v>
      </c>
      <c r="G117" s="15">
        <v>5.1274655647382925</v>
      </c>
      <c r="H117" s="164">
        <v>1</v>
      </c>
      <c r="I117" s="164">
        <v>1</v>
      </c>
      <c r="J117" s="166">
        <f>365/7*10</f>
        <v>521.42857142857144</v>
      </c>
      <c r="K117" s="16">
        <f t="shared" si="3"/>
        <v>9.8334956036076841E-3</v>
      </c>
      <c r="L117" s="19" t="s">
        <v>538</v>
      </c>
      <c r="M117" s="14" t="s">
        <v>539</v>
      </c>
      <c r="N117" s="41"/>
    </row>
    <row r="118" spans="1:14" ht="45" x14ac:dyDescent="0.25">
      <c r="A118" s="19" t="s">
        <v>244</v>
      </c>
      <c r="B118" s="18">
        <v>5.4</v>
      </c>
      <c r="C118" s="18" t="s">
        <v>240</v>
      </c>
      <c r="D118" s="19" t="s">
        <v>314</v>
      </c>
      <c r="E118" s="19" t="s">
        <v>547</v>
      </c>
      <c r="F118" s="20" t="s">
        <v>27</v>
      </c>
      <c r="G118" s="164">
        <v>21.578512396694215</v>
      </c>
      <c r="H118" s="164">
        <v>1</v>
      </c>
      <c r="I118" s="164">
        <v>1</v>
      </c>
      <c r="J118" s="166">
        <f>365/7*15</f>
        <v>782.14285714285722</v>
      </c>
      <c r="K118" s="16">
        <f t="shared" si="3"/>
        <v>2.7588965621344198E-2</v>
      </c>
      <c r="L118" s="19" t="s">
        <v>548</v>
      </c>
      <c r="M118" s="18" t="s">
        <v>549</v>
      </c>
      <c r="N118" s="22"/>
    </row>
    <row r="119" spans="1:14" ht="33.75" x14ac:dyDescent="0.25">
      <c r="A119" s="19" t="s">
        <v>244</v>
      </c>
      <c r="B119" s="18">
        <v>5.4</v>
      </c>
      <c r="C119" s="18" t="s">
        <v>240</v>
      </c>
      <c r="D119" s="19" t="s">
        <v>314</v>
      </c>
      <c r="E119" s="19" t="s">
        <v>550</v>
      </c>
      <c r="F119" s="20" t="s">
        <v>251</v>
      </c>
      <c r="G119" s="15">
        <v>7.182561983471075</v>
      </c>
      <c r="H119" s="164">
        <v>2</v>
      </c>
      <c r="I119" s="164">
        <v>2</v>
      </c>
      <c r="J119" s="166">
        <f>365/7*15</f>
        <v>782.14285714285722</v>
      </c>
      <c r="K119" s="16">
        <f t="shared" si="3"/>
        <v>1.836636854220914E-2</v>
      </c>
      <c r="L119" s="19" t="s">
        <v>1267</v>
      </c>
      <c r="M119" s="14" t="s">
        <v>551</v>
      </c>
      <c r="N119" s="22"/>
    </row>
    <row r="120" spans="1:14" ht="45" x14ac:dyDescent="0.25">
      <c r="A120" s="18" t="s">
        <v>244</v>
      </c>
      <c r="B120" s="18">
        <v>5.4</v>
      </c>
      <c r="C120" s="18" t="s">
        <v>240</v>
      </c>
      <c r="D120" s="19" t="s">
        <v>314</v>
      </c>
      <c r="E120" s="19" t="s">
        <v>317</v>
      </c>
      <c r="F120" s="20" t="s">
        <v>249</v>
      </c>
      <c r="G120" s="155">
        <v>20.550964187327825</v>
      </c>
      <c r="H120" s="164">
        <v>1</v>
      </c>
      <c r="I120" s="164">
        <v>1</v>
      </c>
      <c r="J120" s="166">
        <f>365/7*15</f>
        <v>782.14285714285722</v>
      </c>
      <c r="K120" s="16">
        <f t="shared" si="3"/>
        <v>2.6275205353661141E-2</v>
      </c>
      <c r="L120" s="19" t="s">
        <v>554</v>
      </c>
      <c r="M120" s="14" t="s">
        <v>555</v>
      </c>
      <c r="N120" s="22"/>
    </row>
    <row r="121" spans="1:14" ht="33.75" x14ac:dyDescent="0.25">
      <c r="A121" s="18" t="s">
        <v>244</v>
      </c>
      <c r="B121" s="18">
        <v>5.4</v>
      </c>
      <c r="C121" s="26" t="s">
        <v>240</v>
      </c>
      <c r="D121" s="26" t="s">
        <v>314</v>
      </c>
      <c r="E121" s="26" t="s">
        <v>318</v>
      </c>
      <c r="F121" s="27" t="s">
        <v>249</v>
      </c>
      <c r="G121" s="155">
        <v>6.1652892561983474</v>
      </c>
      <c r="H121" s="156">
        <v>1</v>
      </c>
      <c r="I121" s="156">
        <v>1</v>
      </c>
      <c r="J121" s="158">
        <f>365/7*2</f>
        <v>104.28571428571429</v>
      </c>
      <c r="K121" s="16">
        <f t="shared" si="3"/>
        <v>5.9119212045737578E-2</v>
      </c>
      <c r="L121" s="26" t="s">
        <v>556</v>
      </c>
      <c r="M121" s="129" t="s">
        <v>557</v>
      </c>
      <c r="N121" s="19"/>
    </row>
    <row r="122" spans="1:14" ht="22.5" x14ac:dyDescent="0.25">
      <c r="A122" s="22" t="s">
        <v>244</v>
      </c>
      <c r="B122" s="18">
        <v>5.4</v>
      </c>
      <c r="C122" s="18" t="s">
        <v>240</v>
      </c>
      <c r="D122" s="22" t="s">
        <v>314</v>
      </c>
      <c r="E122" s="14" t="s">
        <v>558</v>
      </c>
      <c r="F122" s="19" t="s">
        <v>249</v>
      </c>
      <c r="G122" s="15">
        <v>8.2203856749311299</v>
      </c>
      <c r="H122" s="164"/>
      <c r="I122" s="164">
        <v>1</v>
      </c>
      <c r="J122" s="166">
        <f>365/7*10</f>
        <v>521.42857142857144</v>
      </c>
      <c r="K122" s="16">
        <f t="shared" si="3"/>
        <v>1.5765123212196686E-2</v>
      </c>
      <c r="L122" s="22" t="s">
        <v>559</v>
      </c>
      <c r="M122" s="14" t="s">
        <v>560</v>
      </c>
      <c r="N122" s="14"/>
    </row>
    <row r="123" spans="1:14" ht="22.5" x14ac:dyDescent="0.25">
      <c r="A123" s="22" t="s">
        <v>244</v>
      </c>
      <c r="B123" s="18">
        <v>5.4</v>
      </c>
      <c r="C123" s="18" t="s">
        <v>240</v>
      </c>
      <c r="D123" s="22" t="s">
        <v>314</v>
      </c>
      <c r="E123" s="22" t="s">
        <v>561</v>
      </c>
      <c r="F123" s="36" t="s">
        <v>27</v>
      </c>
      <c r="G123" s="155">
        <v>1.644077134986226</v>
      </c>
      <c r="H123" s="156">
        <v>36</v>
      </c>
      <c r="I123" s="156">
        <v>1</v>
      </c>
      <c r="J123" s="158">
        <f>365/7*3</f>
        <v>156.42857142857144</v>
      </c>
      <c r="K123" s="16">
        <f t="shared" si="3"/>
        <v>1.0510082141464457E-2</v>
      </c>
      <c r="L123" s="22" t="s">
        <v>562</v>
      </c>
      <c r="M123" s="50" t="s">
        <v>563</v>
      </c>
      <c r="N123" s="31"/>
    </row>
    <row r="124" spans="1:14" ht="33.75" x14ac:dyDescent="0.25">
      <c r="A124" s="38" t="s">
        <v>244</v>
      </c>
      <c r="B124" s="38">
        <v>5.4</v>
      </c>
      <c r="C124" s="18" t="s">
        <v>240</v>
      </c>
      <c r="D124" s="14" t="s">
        <v>339</v>
      </c>
      <c r="E124" s="22" t="s">
        <v>622</v>
      </c>
      <c r="F124" s="36" t="s">
        <v>249</v>
      </c>
      <c r="G124" s="155">
        <v>6.1652892561983474</v>
      </c>
      <c r="H124" s="156">
        <v>1</v>
      </c>
      <c r="I124" s="156">
        <v>1</v>
      </c>
      <c r="J124" s="158">
        <f>365/7*10</f>
        <v>521.42857142857144</v>
      </c>
      <c r="K124" s="16">
        <f t="shared" si="3"/>
        <v>1.1823842409147516E-2</v>
      </c>
      <c r="L124" s="22" t="s">
        <v>623</v>
      </c>
      <c r="M124" s="14" t="s">
        <v>624</v>
      </c>
      <c r="N124" s="22"/>
    </row>
    <row r="125" spans="1:14" ht="45" x14ac:dyDescent="0.25">
      <c r="A125" s="22" t="s">
        <v>244</v>
      </c>
      <c r="B125" s="26">
        <v>5.4</v>
      </c>
      <c r="C125" s="18" t="s">
        <v>240</v>
      </c>
      <c r="D125" s="14" t="s">
        <v>339</v>
      </c>
      <c r="E125" s="14" t="s">
        <v>261</v>
      </c>
      <c r="F125" s="22" t="s">
        <v>27</v>
      </c>
      <c r="G125" s="155">
        <v>5.6515151515151523</v>
      </c>
      <c r="H125" s="156">
        <v>1</v>
      </c>
      <c r="I125" s="156">
        <v>1</v>
      </c>
      <c r="J125" s="158">
        <f>365/7*5</f>
        <v>260.71428571428572</v>
      </c>
      <c r="K125" s="16">
        <f t="shared" si="3"/>
        <v>2.1677044416770447E-2</v>
      </c>
      <c r="L125" s="22" t="s">
        <v>637</v>
      </c>
      <c r="M125" s="50" t="s">
        <v>638</v>
      </c>
      <c r="N125" s="22"/>
    </row>
    <row r="126" spans="1:14" ht="33.75" x14ac:dyDescent="0.25">
      <c r="A126" s="18" t="s">
        <v>244</v>
      </c>
      <c r="B126" s="18">
        <v>5.5</v>
      </c>
      <c r="C126" s="18" t="s">
        <v>240</v>
      </c>
      <c r="D126" s="14" t="s">
        <v>245</v>
      </c>
      <c r="E126" s="14" t="s">
        <v>247</v>
      </c>
      <c r="F126" s="14" t="s">
        <v>27</v>
      </c>
      <c r="G126" s="16">
        <v>4.4661671207992741</v>
      </c>
      <c r="H126" s="29">
        <v>1</v>
      </c>
      <c r="I126" s="154">
        <v>1</v>
      </c>
      <c r="J126" s="152">
        <f>365/7*2</f>
        <v>104.28571428571429</v>
      </c>
      <c r="K126" s="16">
        <f t="shared" si="3"/>
        <v>4.2826260062458793E-2</v>
      </c>
      <c r="L126" s="14" t="s">
        <v>379</v>
      </c>
      <c r="M126" s="50" t="s">
        <v>1315</v>
      </c>
      <c r="N126" s="22"/>
    </row>
    <row r="127" spans="1:14" ht="22.5" x14ac:dyDescent="0.25">
      <c r="A127" s="18" t="s">
        <v>244</v>
      </c>
      <c r="B127" s="18">
        <v>5.5</v>
      </c>
      <c r="C127" s="18" t="s">
        <v>240</v>
      </c>
      <c r="D127" s="14" t="s">
        <v>245</v>
      </c>
      <c r="E127" s="14" t="s">
        <v>381</v>
      </c>
      <c r="F127" s="14" t="s">
        <v>27</v>
      </c>
      <c r="G127" s="16">
        <v>4.6237965485921899</v>
      </c>
      <c r="H127" s="29">
        <v>4</v>
      </c>
      <c r="I127" s="154">
        <v>1</v>
      </c>
      <c r="J127" s="152">
        <f>365/7*20</f>
        <v>1042.8571428571429</v>
      </c>
      <c r="K127" s="16">
        <f t="shared" si="3"/>
        <v>4.4337775123486755E-3</v>
      </c>
      <c r="L127" s="14" t="s">
        <v>382</v>
      </c>
      <c r="M127" s="50" t="s">
        <v>383</v>
      </c>
      <c r="N127" s="22"/>
    </row>
    <row r="128" spans="1:14" ht="33.75" x14ac:dyDescent="0.25">
      <c r="A128" s="18" t="s">
        <v>244</v>
      </c>
      <c r="B128" s="18">
        <v>5.5</v>
      </c>
      <c r="C128" s="18" t="s">
        <v>240</v>
      </c>
      <c r="D128" s="14" t="s">
        <v>252</v>
      </c>
      <c r="E128" s="14" t="s">
        <v>247</v>
      </c>
      <c r="F128" s="14" t="s">
        <v>27</v>
      </c>
      <c r="G128" s="16">
        <v>4.4661671207992741</v>
      </c>
      <c r="H128" s="29">
        <v>1</v>
      </c>
      <c r="I128" s="154">
        <v>1</v>
      </c>
      <c r="J128" s="152">
        <f>365/7*2</f>
        <v>104.28571428571429</v>
      </c>
      <c r="K128" s="16">
        <f t="shared" si="3"/>
        <v>4.2826260062458793E-2</v>
      </c>
      <c r="L128" s="14" t="s">
        <v>379</v>
      </c>
      <c r="M128" s="50" t="s">
        <v>380</v>
      </c>
      <c r="N128" s="44"/>
    </row>
    <row r="129" spans="1:14" ht="33.75" x14ac:dyDescent="0.25">
      <c r="A129" s="18" t="s">
        <v>244</v>
      </c>
      <c r="B129" s="18">
        <v>5.5</v>
      </c>
      <c r="C129" s="18" t="s">
        <v>240</v>
      </c>
      <c r="D129" s="14" t="s">
        <v>252</v>
      </c>
      <c r="E129" s="14" t="s">
        <v>254</v>
      </c>
      <c r="F129" s="14" t="s">
        <v>27</v>
      </c>
      <c r="G129" s="16">
        <v>25.220708446866489</v>
      </c>
      <c r="H129" s="29">
        <v>1</v>
      </c>
      <c r="I129" s="29">
        <v>1</v>
      </c>
      <c r="J129" s="152">
        <f>365/7*20</f>
        <v>1042.8571428571429</v>
      </c>
      <c r="K129" s="16">
        <f t="shared" si="3"/>
        <v>2.4184240976447318E-2</v>
      </c>
      <c r="L129" s="14" t="s">
        <v>389</v>
      </c>
      <c r="M129" s="50" t="s">
        <v>390</v>
      </c>
      <c r="N129" s="41"/>
    </row>
    <row r="130" spans="1:14" ht="22.5" x14ac:dyDescent="0.25">
      <c r="A130" s="18" t="s">
        <v>244</v>
      </c>
      <c r="B130" s="18">
        <v>5.5</v>
      </c>
      <c r="C130" s="18" t="s">
        <v>240</v>
      </c>
      <c r="D130" s="14" t="s">
        <v>252</v>
      </c>
      <c r="E130" s="14" t="s">
        <v>256</v>
      </c>
      <c r="F130" s="14" t="s">
        <v>27</v>
      </c>
      <c r="G130" s="16">
        <v>1.5762942779291556</v>
      </c>
      <c r="H130" s="29">
        <v>1</v>
      </c>
      <c r="I130" s="29">
        <v>1</v>
      </c>
      <c r="J130" s="152">
        <f>365/7*7</f>
        <v>365</v>
      </c>
      <c r="K130" s="16">
        <f t="shared" si="3"/>
        <v>4.318614460079878E-3</v>
      </c>
      <c r="L130" s="14" t="s">
        <v>393</v>
      </c>
      <c r="M130" s="14" t="s">
        <v>257</v>
      </c>
      <c r="N130" s="22"/>
    </row>
    <row r="131" spans="1:14" ht="33.75" x14ac:dyDescent="0.25">
      <c r="A131" s="18" t="s">
        <v>244</v>
      </c>
      <c r="B131" s="18">
        <v>5.5</v>
      </c>
      <c r="C131" s="18" t="s">
        <v>240</v>
      </c>
      <c r="D131" s="14" t="s">
        <v>252</v>
      </c>
      <c r="E131" s="19" t="s">
        <v>406</v>
      </c>
      <c r="F131" s="20" t="s">
        <v>251</v>
      </c>
      <c r="G131" s="15">
        <v>42.024005449591286</v>
      </c>
      <c r="H131" s="164">
        <v>1</v>
      </c>
      <c r="I131" s="165">
        <v>1</v>
      </c>
      <c r="J131" s="166">
        <f>365/7*10</f>
        <v>521.42857142857144</v>
      </c>
      <c r="K131" s="16">
        <f t="shared" si="3"/>
        <v>8.0593983054010679E-2</v>
      </c>
      <c r="L131" s="19" t="s">
        <v>407</v>
      </c>
      <c r="M131" s="14" t="s">
        <v>408</v>
      </c>
      <c r="N131" s="19"/>
    </row>
    <row r="132" spans="1:14" ht="33.75" x14ac:dyDescent="0.25">
      <c r="A132" s="18" t="s">
        <v>244</v>
      </c>
      <c r="B132" s="18">
        <v>5.5</v>
      </c>
      <c r="C132" s="18" t="s">
        <v>240</v>
      </c>
      <c r="D132" s="37" t="s">
        <v>264</v>
      </c>
      <c r="E132" s="14" t="s">
        <v>247</v>
      </c>
      <c r="F132" s="14" t="s">
        <v>27</v>
      </c>
      <c r="G132" s="16">
        <v>4.4661671207992741</v>
      </c>
      <c r="H132" s="29">
        <v>1</v>
      </c>
      <c r="I132" s="154">
        <v>1</v>
      </c>
      <c r="J132" s="152">
        <f>365/7*2</f>
        <v>104.28571428571429</v>
      </c>
      <c r="K132" s="16">
        <f t="shared" si="3"/>
        <v>4.2826260062458793E-2</v>
      </c>
      <c r="L132" s="14" t="s">
        <v>379</v>
      </c>
      <c r="M132" s="50" t="s">
        <v>380</v>
      </c>
      <c r="N132" s="22"/>
    </row>
    <row r="133" spans="1:14" ht="33.75" x14ac:dyDescent="0.25">
      <c r="A133" s="18" t="s">
        <v>244</v>
      </c>
      <c r="B133" s="18">
        <v>5.5</v>
      </c>
      <c r="C133" s="18" t="s">
        <v>240</v>
      </c>
      <c r="D133" s="37" t="s">
        <v>264</v>
      </c>
      <c r="E133" s="14" t="s">
        <v>254</v>
      </c>
      <c r="F133" s="14" t="s">
        <v>27</v>
      </c>
      <c r="G133" s="16">
        <v>25.220708446866489</v>
      </c>
      <c r="H133" s="29">
        <v>1</v>
      </c>
      <c r="I133" s="29">
        <v>1</v>
      </c>
      <c r="J133" s="152">
        <f>365/7*20</f>
        <v>1042.8571428571429</v>
      </c>
      <c r="K133" s="16">
        <f t="shared" ref="K133:K164" si="4">G133*I133/J133</f>
        <v>2.4184240976447318E-2</v>
      </c>
      <c r="L133" s="14" t="s">
        <v>389</v>
      </c>
      <c r="M133" s="50" t="s">
        <v>390</v>
      </c>
      <c r="N133" s="7"/>
    </row>
    <row r="134" spans="1:14" ht="22.5" x14ac:dyDescent="0.25">
      <c r="A134" s="18" t="s">
        <v>244</v>
      </c>
      <c r="B134" s="18">
        <v>5.5</v>
      </c>
      <c r="C134" s="18" t="s">
        <v>240</v>
      </c>
      <c r="D134" s="37" t="s">
        <v>264</v>
      </c>
      <c r="E134" s="14" t="s">
        <v>256</v>
      </c>
      <c r="F134" s="14" t="s">
        <v>27</v>
      </c>
      <c r="G134" s="16">
        <v>1.5762942779291556</v>
      </c>
      <c r="H134" s="29">
        <v>1</v>
      </c>
      <c r="I134" s="29">
        <v>1</v>
      </c>
      <c r="J134" s="152">
        <f>365/7*7</f>
        <v>365</v>
      </c>
      <c r="K134" s="16">
        <f t="shared" si="4"/>
        <v>4.318614460079878E-3</v>
      </c>
      <c r="L134" s="14" t="s">
        <v>393</v>
      </c>
      <c r="M134" s="14" t="s">
        <v>257</v>
      </c>
      <c r="N134" s="7"/>
    </row>
    <row r="135" spans="1:14" ht="33.75" x14ac:dyDescent="0.25">
      <c r="A135" s="18" t="s">
        <v>244</v>
      </c>
      <c r="B135" s="18">
        <v>5.5</v>
      </c>
      <c r="C135" s="18" t="s">
        <v>240</v>
      </c>
      <c r="D135" s="37" t="s">
        <v>269</v>
      </c>
      <c r="E135" s="14" t="s">
        <v>247</v>
      </c>
      <c r="F135" s="14" t="s">
        <v>27</v>
      </c>
      <c r="G135" s="16">
        <v>4.4661671207992741</v>
      </c>
      <c r="H135" s="29">
        <v>1</v>
      </c>
      <c r="I135" s="154">
        <v>1</v>
      </c>
      <c r="J135" s="152">
        <f>365/7*2</f>
        <v>104.28571428571429</v>
      </c>
      <c r="K135" s="16">
        <f t="shared" si="4"/>
        <v>4.2826260062458793E-2</v>
      </c>
      <c r="L135" s="14" t="s">
        <v>428</v>
      </c>
      <c r="M135" s="50" t="s">
        <v>1315</v>
      </c>
      <c r="N135" s="7"/>
    </row>
    <row r="136" spans="1:14" ht="22.5" x14ac:dyDescent="0.25">
      <c r="A136" s="18" t="s">
        <v>244</v>
      </c>
      <c r="B136" s="18">
        <v>5.5</v>
      </c>
      <c r="C136" s="18" t="s">
        <v>240</v>
      </c>
      <c r="D136" s="19" t="s">
        <v>598</v>
      </c>
      <c r="E136" s="22" t="s">
        <v>599</v>
      </c>
      <c r="F136" s="36" t="s">
        <v>249</v>
      </c>
      <c r="G136" s="155">
        <v>17.864668483197097</v>
      </c>
      <c r="H136" s="156">
        <v>40</v>
      </c>
      <c r="I136" s="156">
        <v>1</v>
      </c>
      <c r="J136" s="158">
        <f>365/7*20</f>
        <v>1042.8571428571429</v>
      </c>
      <c r="K136" s="16">
        <f t="shared" si="4"/>
        <v>1.7130504024983517E-2</v>
      </c>
      <c r="L136" s="22" t="s">
        <v>600</v>
      </c>
      <c r="M136" s="128" t="s">
        <v>601</v>
      </c>
      <c r="N136" s="19"/>
    </row>
    <row r="137" spans="1:14" ht="33.75" x14ac:dyDescent="0.25">
      <c r="A137" s="18" t="s">
        <v>244</v>
      </c>
      <c r="B137" s="18">
        <v>5.5</v>
      </c>
      <c r="C137" s="18" t="s">
        <v>240</v>
      </c>
      <c r="D137" s="14" t="s">
        <v>339</v>
      </c>
      <c r="E137" s="14" t="s">
        <v>247</v>
      </c>
      <c r="F137" s="14" t="s">
        <v>27</v>
      </c>
      <c r="G137" s="16">
        <v>4.4661671207992741</v>
      </c>
      <c r="H137" s="29">
        <v>1</v>
      </c>
      <c r="I137" s="154">
        <v>1</v>
      </c>
      <c r="J137" s="152">
        <f>365/7*2</f>
        <v>104.28571428571429</v>
      </c>
      <c r="K137" s="16">
        <f t="shared" si="4"/>
        <v>4.2826260062458793E-2</v>
      </c>
      <c r="L137" s="14" t="s">
        <v>379</v>
      </c>
      <c r="M137" s="50" t="s">
        <v>380</v>
      </c>
      <c r="N137" s="19"/>
    </row>
    <row r="138" spans="1:14" ht="33.75" x14ac:dyDescent="0.25">
      <c r="A138" s="38" t="s">
        <v>244</v>
      </c>
      <c r="B138" s="38">
        <v>5.5</v>
      </c>
      <c r="C138" s="18" t="s">
        <v>240</v>
      </c>
      <c r="D138" s="4" t="s">
        <v>351</v>
      </c>
      <c r="E138" s="14" t="s">
        <v>247</v>
      </c>
      <c r="F138" s="14" t="s">
        <v>27</v>
      </c>
      <c r="G138" s="16">
        <v>4.4661671207992741</v>
      </c>
      <c r="H138" s="29">
        <v>1</v>
      </c>
      <c r="I138" s="154">
        <v>1</v>
      </c>
      <c r="J138" s="152">
        <f>365/7*2</f>
        <v>104.28571428571429</v>
      </c>
      <c r="K138" s="16">
        <f t="shared" si="4"/>
        <v>4.2826260062458793E-2</v>
      </c>
      <c r="L138" s="14" t="s">
        <v>379</v>
      </c>
      <c r="M138" s="50" t="s">
        <v>380</v>
      </c>
      <c r="N138" s="19"/>
    </row>
    <row r="139" spans="1:14" ht="33.75" x14ac:dyDescent="0.25">
      <c r="A139" s="38" t="s">
        <v>244</v>
      </c>
      <c r="B139" s="38">
        <v>5.5</v>
      </c>
      <c r="C139" s="18" t="s">
        <v>240</v>
      </c>
      <c r="D139" s="4" t="s">
        <v>351</v>
      </c>
      <c r="E139" s="14" t="s">
        <v>254</v>
      </c>
      <c r="F139" s="14" t="s">
        <v>27</v>
      </c>
      <c r="G139" s="16">
        <v>25.220708446866489</v>
      </c>
      <c r="H139" s="29">
        <v>1</v>
      </c>
      <c r="I139" s="29">
        <v>1</v>
      </c>
      <c r="J139" s="152">
        <f>365/7*20</f>
        <v>1042.8571428571429</v>
      </c>
      <c r="K139" s="16">
        <f t="shared" si="4"/>
        <v>2.4184240976447318E-2</v>
      </c>
      <c r="L139" s="14" t="s">
        <v>389</v>
      </c>
      <c r="M139" s="50" t="s">
        <v>390</v>
      </c>
      <c r="N139" s="22"/>
    </row>
    <row r="140" spans="1:14" ht="22.5" x14ac:dyDescent="0.25">
      <c r="A140" s="38" t="s">
        <v>244</v>
      </c>
      <c r="B140" s="38">
        <v>5.5</v>
      </c>
      <c r="C140" s="18" t="s">
        <v>240</v>
      </c>
      <c r="D140" s="4" t="s">
        <v>351</v>
      </c>
      <c r="E140" s="14" t="s">
        <v>256</v>
      </c>
      <c r="F140" s="14" t="s">
        <v>27</v>
      </c>
      <c r="G140" s="16">
        <v>1.5762942779291556</v>
      </c>
      <c r="H140" s="29">
        <v>1</v>
      </c>
      <c r="I140" s="29">
        <v>1</v>
      </c>
      <c r="J140" s="152">
        <f>365/7*7</f>
        <v>365</v>
      </c>
      <c r="K140" s="16">
        <f t="shared" si="4"/>
        <v>4.318614460079878E-3</v>
      </c>
      <c r="L140" s="14" t="s">
        <v>393</v>
      </c>
      <c r="M140" s="14" t="s">
        <v>257</v>
      </c>
      <c r="N140" s="41"/>
    </row>
    <row r="141" spans="1:14" ht="22.5" x14ac:dyDescent="0.25">
      <c r="A141" s="18" t="s">
        <v>244</v>
      </c>
      <c r="B141" s="18">
        <v>5.6</v>
      </c>
      <c r="C141" s="18" t="s">
        <v>240</v>
      </c>
      <c r="D141" s="22" t="s">
        <v>306</v>
      </c>
      <c r="E141" s="22" t="s">
        <v>448</v>
      </c>
      <c r="F141" s="36" t="s">
        <v>28</v>
      </c>
      <c r="G141" s="155">
        <v>1.1294326241134753</v>
      </c>
      <c r="H141" s="156">
        <v>50</v>
      </c>
      <c r="I141" s="157">
        <v>2</v>
      </c>
      <c r="J141" s="158">
        <f>365/7</f>
        <v>52.142857142857146</v>
      </c>
      <c r="K141" s="16">
        <f t="shared" si="4"/>
        <v>4.3320703390653845E-2</v>
      </c>
      <c r="L141" s="22" t="s">
        <v>1265</v>
      </c>
      <c r="M141" s="14" t="s">
        <v>449</v>
      </c>
      <c r="N141" s="19"/>
    </row>
    <row r="142" spans="1:14" ht="22.5" x14ac:dyDescent="0.25">
      <c r="A142" s="18" t="s">
        <v>244</v>
      </c>
      <c r="B142" s="18">
        <v>5.6</v>
      </c>
      <c r="C142" s="18" t="s">
        <v>240</v>
      </c>
      <c r="D142" s="19" t="s">
        <v>314</v>
      </c>
      <c r="E142" s="19" t="s">
        <v>366</v>
      </c>
      <c r="F142" s="20" t="s">
        <v>28</v>
      </c>
      <c r="G142" s="15">
        <v>1.920035460992908</v>
      </c>
      <c r="H142" s="164">
        <v>1</v>
      </c>
      <c r="I142" s="164">
        <v>1</v>
      </c>
      <c r="J142" s="166">
        <f>40/5*2</f>
        <v>16</v>
      </c>
      <c r="K142" s="16">
        <f t="shared" si="4"/>
        <v>0.12000221631205675</v>
      </c>
      <c r="L142" s="19" t="s">
        <v>540</v>
      </c>
      <c r="M142" s="14" t="s">
        <v>541</v>
      </c>
      <c r="N142" s="14"/>
    </row>
    <row r="143" spans="1:14" ht="22.5" x14ac:dyDescent="0.25">
      <c r="A143" s="18" t="s">
        <v>244</v>
      </c>
      <c r="B143" s="18">
        <v>5.6</v>
      </c>
      <c r="C143" s="18" t="s">
        <v>240</v>
      </c>
      <c r="D143" s="19" t="s">
        <v>314</v>
      </c>
      <c r="E143" s="19" t="s">
        <v>315</v>
      </c>
      <c r="F143" s="20" t="s">
        <v>28</v>
      </c>
      <c r="G143" s="15">
        <v>1.6941489361702131</v>
      </c>
      <c r="H143" s="164">
        <v>1</v>
      </c>
      <c r="I143" s="164">
        <v>1</v>
      </c>
      <c r="J143" s="166">
        <f>74/5*2</f>
        <v>29.6</v>
      </c>
      <c r="K143" s="16">
        <f t="shared" si="4"/>
        <v>5.7234761357101795E-2</v>
      </c>
      <c r="L143" s="19" t="s">
        <v>542</v>
      </c>
      <c r="M143" s="14" t="s">
        <v>543</v>
      </c>
      <c r="N143" s="14"/>
    </row>
    <row r="144" spans="1:14" ht="56.25" x14ac:dyDescent="0.25">
      <c r="A144" s="18" t="s">
        <v>244</v>
      </c>
      <c r="B144" s="18">
        <v>5.6</v>
      </c>
      <c r="C144" s="18" t="s">
        <v>240</v>
      </c>
      <c r="D144" s="19" t="s">
        <v>314</v>
      </c>
      <c r="E144" s="19" t="s">
        <v>544</v>
      </c>
      <c r="F144" s="20" t="s">
        <v>75</v>
      </c>
      <c r="G144" s="15">
        <v>1.1294326241134753</v>
      </c>
      <c r="H144" s="164">
        <v>1</v>
      </c>
      <c r="I144" s="164">
        <v>1</v>
      </c>
      <c r="J144" s="166">
        <v>50</v>
      </c>
      <c r="K144" s="16">
        <f t="shared" si="4"/>
        <v>2.2588652482269506E-2</v>
      </c>
      <c r="L144" s="19" t="s">
        <v>545</v>
      </c>
      <c r="M144" s="14" t="s">
        <v>546</v>
      </c>
      <c r="N144" s="14"/>
    </row>
    <row r="145" spans="1:14" ht="45" x14ac:dyDescent="0.25">
      <c r="A145" s="19" t="s">
        <v>244</v>
      </c>
      <c r="B145" s="18">
        <v>5.6</v>
      </c>
      <c r="C145" s="18" t="s">
        <v>240</v>
      </c>
      <c r="D145" s="19" t="s">
        <v>319</v>
      </c>
      <c r="E145" s="19" t="s">
        <v>564</v>
      </c>
      <c r="F145" s="36" t="s">
        <v>255</v>
      </c>
      <c r="G145" s="155">
        <v>16.941489361702128</v>
      </c>
      <c r="H145" s="156">
        <v>1</v>
      </c>
      <c r="I145" s="156">
        <v>1</v>
      </c>
      <c r="J145" s="158">
        <f>365/7*5</f>
        <v>260.71428571428572</v>
      </c>
      <c r="K145" s="16">
        <f t="shared" si="4"/>
        <v>6.498105508598076E-2</v>
      </c>
      <c r="L145" s="19" t="s">
        <v>565</v>
      </c>
      <c r="M145" s="14" t="s">
        <v>566</v>
      </c>
      <c r="N145" s="14"/>
    </row>
    <row r="146" spans="1:14" ht="33.75" x14ac:dyDescent="0.25">
      <c r="A146" s="18" t="s">
        <v>244</v>
      </c>
      <c r="B146" s="18">
        <v>5.6</v>
      </c>
      <c r="C146" s="22" t="s">
        <v>240</v>
      </c>
      <c r="D146" s="22" t="s">
        <v>319</v>
      </c>
      <c r="E146" s="22" t="s">
        <v>567</v>
      </c>
      <c r="F146" s="36" t="s">
        <v>255</v>
      </c>
      <c r="G146" s="155">
        <v>2.2588652482269507</v>
      </c>
      <c r="H146" s="156">
        <v>1</v>
      </c>
      <c r="I146" s="156">
        <v>1</v>
      </c>
      <c r="J146" s="158">
        <f>365/7*2</f>
        <v>104.28571428571429</v>
      </c>
      <c r="K146" s="16">
        <f t="shared" si="4"/>
        <v>2.1660351695326922E-2</v>
      </c>
      <c r="L146" s="22" t="s">
        <v>568</v>
      </c>
      <c r="M146" s="14" t="s">
        <v>569</v>
      </c>
      <c r="N146" s="38"/>
    </row>
    <row r="147" spans="1:14" ht="56.25" x14ac:dyDescent="0.25">
      <c r="A147" s="19" t="s">
        <v>244</v>
      </c>
      <c r="B147" s="1">
        <v>5.6</v>
      </c>
      <c r="C147" s="18" t="s">
        <v>240</v>
      </c>
      <c r="D147" s="19" t="s">
        <v>319</v>
      </c>
      <c r="E147" s="22" t="s">
        <v>322</v>
      </c>
      <c r="F147" s="36" t="s">
        <v>27</v>
      </c>
      <c r="G147" s="155">
        <v>9.0354609929078027</v>
      </c>
      <c r="H147" s="156">
        <v>1</v>
      </c>
      <c r="I147" s="156">
        <v>1</v>
      </c>
      <c r="J147" s="158">
        <f>365/7*5</f>
        <v>260.71428571428572</v>
      </c>
      <c r="K147" s="16">
        <f t="shared" si="4"/>
        <v>3.4656562712523077E-2</v>
      </c>
      <c r="L147" s="19" t="s">
        <v>571</v>
      </c>
      <c r="M147" s="14" t="s">
        <v>572</v>
      </c>
      <c r="N147" s="22"/>
    </row>
    <row r="148" spans="1:14" ht="33.75" x14ac:dyDescent="0.25">
      <c r="A148" s="22" t="s">
        <v>244</v>
      </c>
      <c r="B148" s="26">
        <v>5.6</v>
      </c>
      <c r="C148" s="18" t="s">
        <v>240</v>
      </c>
      <c r="D148" s="22" t="s">
        <v>319</v>
      </c>
      <c r="E148" s="22" t="s">
        <v>325</v>
      </c>
      <c r="F148" s="20" t="s">
        <v>28</v>
      </c>
      <c r="G148" s="15">
        <v>3.9530141843971638</v>
      </c>
      <c r="H148" s="164">
        <v>4</v>
      </c>
      <c r="I148" s="164">
        <v>1</v>
      </c>
      <c r="J148" s="158">
        <v>6</v>
      </c>
      <c r="K148" s="16">
        <f t="shared" si="4"/>
        <v>0.6588356973995273</v>
      </c>
      <c r="L148" s="22" t="s">
        <v>573</v>
      </c>
      <c r="M148" s="14" t="s">
        <v>326</v>
      </c>
      <c r="N148" s="22"/>
    </row>
    <row r="149" spans="1:14" ht="56.25" x14ac:dyDescent="0.25">
      <c r="A149" s="26" t="s">
        <v>244</v>
      </c>
      <c r="B149" s="26">
        <v>5.6</v>
      </c>
      <c r="C149" s="26" t="s">
        <v>240</v>
      </c>
      <c r="D149" s="26" t="s">
        <v>319</v>
      </c>
      <c r="E149" s="26" t="s">
        <v>574</v>
      </c>
      <c r="F149" s="27" t="s">
        <v>575</v>
      </c>
      <c r="G149" s="155">
        <v>1.1294326241134753</v>
      </c>
      <c r="H149" s="156">
        <v>7</v>
      </c>
      <c r="I149" s="156">
        <v>1</v>
      </c>
      <c r="J149" s="158">
        <f>365/7</f>
        <v>52.142857142857146</v>
      </c>
      <c r="K149" s="16">
        <f t="shared" si="4"/>
        <v>2.1660351695326922E-2</v>
      </c>
      <c r="L149" s="26" t="s">
        <v>576</v>
      </c>
      <c r="M149" s="14" t="s">
        <v>577</v>
      </c>
      <c r="N149" s="45"/>
    </row>
    <row r="150" spans="1:14" ht="33.75" x14ac:dyDescent="0.25">
      <c r="A150" s="19" t="s">
        <v>244</v>
      </c>
      <c r="B150" s="1">
        <v>5.6</v>
      </c>
      <c r="C150" s="18" t="s">
        <v>240</v>
      </c>
      <c r="D150" s="19" t="s">
        <v>319</v>
      </c>
      <c r="E150" s="19" t="s">
        <v>328</v>
      </c>
      <c r="F150" s="20" t="s">
        <v>75</v>
      </c>
      <c r="G150" s="15">
        <v>4.5177304964539013</v>
      </c>
      <c r="H150" s="164">
        <v>5</v>
      </c>
      <c r="I150" s="164">
        <v>1</v>
      </c>
      <c r="J150" s="166">
        <f>365/7</f>
        <v>52.142857142857146</v>
      </c>
      <c r="K150" s="16">
        <f t="shared" si="4"/>
        <v>8.6641406781307689E-2</v>
      </c>
      <c r="L150" s="19" t="s">
        <v>578</v>
      </c>
      <c r="M150" s="1" t="s">
        <v>579</v>
      </c>
      <c r="N150" s="22"/>
    </row>
    <row r="151" spans="1:14" ht="33.75" x14ac:dyDescent="0.25">
      <c r="A151" s="18" t="s">
        <v>244</v>
      </c>
      <c r="B151" s="18">
        <v>5.6</v>
      </c>
      <c r="C151" s="18" t="s">
        <v>240</v>
      </c>
      <c r="D151" s="19" t="s">
        <v>306</v>
      </c>
      <c r="E151" s="19" t="s">
        <v>330</v>
      </c>
      <c r="F151" s="20" t="s">
        <v>28</v>
      </c>
      <c r="G151" s="15">
        <v>2.2588652482269507</v>
      </c>
      <c r="H151" s="164">
        <v>1</v>
      </c>
      <c r="I151" s="164">
        <v>1</v>
      </c>
      <c r="J151" s="158">
        <v>6</v>
      </c>
      <c r="K151" s="16">
        <f t="shared" si="4"/>
        <v>0.37647754137115846</v>
      </c>
      <c r="L151" s="19" t="s">
        <v>580</v>
      </c>
      <c r="M151" s="14" t="s">
        <v>581</v>
      </c>
      <c r="N151" s="19"/>
    </row>
    <row r="152" spans="1:14" ht="22.5" x14ac:dyDescent="0.25">
      <c r="A152" s="18" t="s">
        <v>244</v>
      </c>
      <c r="B152" s="18">
        <v>5.6</v>
      </c>
      <c r="C152" s="22" t="s">
        <v>240</v>
      </c>
      <c r="D152" s="22" t="s">
        <v>306</v>
      </c>
      <c r="E152" s="22" t="s">
        <v>582</v>
      </c>
      <c r="F152" s="36" t="s">
        <v>28</v>
      </c>
      <c r="G152" s="155">
        <v>1.0164893617021278</v>
      </c>
      <c r="H152" s="156">
        <v>1</v>
      </c>
      <c r="I152" s="156">
        <v>1</v>
      </c>
      <c r="J152" s="158">
        <f>365/84</f>
        <v>4.3452380952380949</v>
      </c>
      <c r="K152" s="16">
        <f t="shared" si="4"/>
        <v>0.23393179830953079</v>
      </c>
      <c r="L152" s="22" t="s">
        <v>583</v>
      </c>
      <c r="M152" s="14" t="s">
        <v>334</v>
      </c>
      <c r="N152" s="19"/>
    </row>
    <row r="153" spans="1:14" ht="56.25" x14ac:dyDescent="0.25">
      <c r="A153" s="18" t="s">
        <v>244</v>
      </c>
      <c r="B153" s="18">
        <v>5.6</v>
      </c>
      <c r="C153" s="18" t="s">
        <v>240</v>
      </c>
      <c r="D153" s="22" t="s">
        <v>306</v>
      </c>
      <c r="E153" s="22" t="s">
        <v>584</v>
      </c>
      <c r="F153" s="36" t="s">
        <v>28</v>
      </c>
      <c r="G153" s="155">
        <v>4.5177304964539013</v>
      </c>
      <c r="H153" s="156">
        <v>1</v>
      </c>
      <c r="I153" s="156">
        <v>1</v>
      </c>
      <c r="J153" s="158">
        <f>365/84*6</f>
        <v>26.071428571428569</v>
      </c>
      <c r="K153" s="16">
        <f t="shared" si="4"/>
        <v>0.17328281356261541</v>
      </c>
      <c r="L153" s="22" t="s">
        <v>585</v>
      </c>
      <c r="M153" s="14" t="s">
        <v>586</v>
      </c>
      <c r="N153" s="22"/>
    </row>
    <row r="154" spans="1:14" ht="56.25" x14ac:dyDescent="0.25">
      <c r="A154" s="18" t="s">
        <v>244</v>
      </c>
      <c r="B154" s="18">
        <v>5.6</v>
      </c>
      <c r="C154" s="18" t="s">
        <v>240</v>
      </c>
      <c r="D154" s="22" t="s">
        <v>306</v>
      </c>
      <c r="E154" s="22" t="s">
        <v>337</v>
      </c>
      <c r="F154" s="36" t="s">
        <v>28</v>
      </c>
      <c r="G154" s="156">
        <v>1.0729609929078014</v>
      </c>
      <c r="H154" s="156">
        <v>1</v>
      </c>
      <c r="I154" s="156">
        <v>1</v>
      </c>
      <c r="J154" s="158">
        <v>4.3499999999999996</v>
      </c>
      <c r="K154" s="16">
        <f t="shared" si="4"/>
        <v>0.24665769951903482</v>
      </c>
      <c r="L154" s="22" t="s">
        <v>587</v>
      </c>
      <c r="M154" s="14" t="s">
        <v>588</v>
      </c>
      <c r="N154" s="19"/>
    </row>
    <row r="155" spans="1:14" ht="22.5" x14ac:dyDescent="0.25">
      <c r="A155" s="18" t="s">
        <v>244</v>
      </c>
      <c r="B155" s="18">
        <v>5.6</v>
      </c>
      <c r="C155" s="18" t="s">
        <v>240</v>
      </c>
      <c r="D155" s="22" t="s">
        <v>306</v>
      </c>
      <c r="E155" s="22" t="s">
        <v>589</v>
      </c>
      <c r="F155" s="36" t="s">
        <v>28</v>
      </c>
      <c r="G155" s="156">
        <v>1.8635638297872341</v>
      </c>
      <c r="H155" s="156">
        <v>1</v>
      </c>
      <c r="I155" s="156">
        <v>1</v>
      </c>
      <c r="J155" s="158">
        <f>365/84*18</f>
        <v>78.214285714285708</v>
      </c>
      <c r="K155" s="16">
        <f t="shared" si="4"/>
        <v>2.3826386864859616E-2</v>
      </c>
      <c r="L155" s="22" t="s">
        <v>1268</v>
      </c>
      <c r="M155" s="14" t="s">
        <v>590</v>
      </c>
      <c r="N155" s="19"/>
    </row>
    <row r="156" spans="1:14" ht="33.75" x14ac:dyDescent="0.25">
      <c r="A156" s="19" t="s">
        <v>244</v>
      </c>
      <c r="B156" s="1">
        <v>5.6</v>
      </c>
      <c r="C156" s="18" t="s">
        <v>240</v>
      </c>
      <c r="D156" s="19" t="s">
        <v>319</v>
      </c>
      <c r="E156" s="19" t="s">
        <v>323</v>
      </c>
      <c r="F156" s="20" t="s">
        <v>28</v>
      </c>
      <c r="G156" s="15">
        <v>0.45177304964539017</v>
      </c>
      <c r="H156" s="164">
        <v>8</v>
      </c>
      <c r="I156" s="164">
        <v>1</v>
      </c>
      <c r="J156" s="166">
        <v>8</v>
      </c>
      <c r="K156" s="16">
        <f t="shared" si="4"/>
        <v>5.6471631205673771E-2</v>
      </c>
      <c r="L156" s="19" t="s">
        <v>591</v>
      </c>
      <c r="M156" s="128" t="s">
        <v>324</v>
      </c>
      <c r="N156" s="22"/>
    </row>
    <row r="157" spans="1:14" ht="22.5" x14ac:dyDescent="0.25">
      <c r="A157" s="19" t="s">
        <v>244</v>
      </c>
      <c r="B157" s="1">
        <v>5.6</v>
      </c>
      <c r="C157" s="18" t="s">
        <v>240</v>
      </c>
      <c r="D157" s="19" t="s">
        <v>319</v>
      </c>
      <c r="E157" s="22" t="s">
        <v>592</v>
      </c>
      <c r="F157" s="36" t="s">
        <v>28</v>
      </c>
      <c r="G157" s="155">
        <v>1.1294326241134753</v>
      </c>
      <c r="H157" s="156">
        <v>5</v>
      </c>
      <c r="I157" s="156">
        <v>1</v>
      </c>
      <c r="J157" s="158">
        <v>5</v>
      </c>
      <c r="K157" s="16">
        <f t="shared" si="4"/>
        <v>0.22588652482269506</v>
      </c>
      <c r="L157" s="22" t="s">
        <v>593</v>
      </c>
      <c r="M157" s="14" t="s">
        <v>594</v>
      </c>
      <c r="N157" s="22"/>
    </row>
    <row r="158" spans="1:14" ht="22.5" x14ac:dyDescent="0.25">
      <c r="A158" s="18" t="s">
        <v>244</v>
      </c>
      <c r="B158" s="18">
        <v>5.6</v>
      </c>
      <c r="C158" s="18" t="s">
        <v>240</v>
      </c>
      <c r="D158" s="22" t="s">
        <v>306</v>
      </c>
      <c r="E158" s="22" t="s">
        <v>333</v>
      </c>
      <c r="F158" s="20" t="s">
        <v>28</v>
      </c>
      <c r="G158" s="15">
        <v>1.468262411347518</v>
      </c>
      <c r="H158" s="164">
        <v>1</v>
      </c>
      <c r="I158" s="165">
        <v>1</v>
      </c>
      <c r="J158" s="158">
        <f>365/84*8</f>
        <v>34.761904761904759</v>
      </c>
      <c r="K158" s="16">
        <f t="shared" si="4"/>
        <v>4.2237685805887507E-2</v>
      </c>
      <c r="L158" s="22" t="s">
        <v>1269</v>
      </c>
      <c r="M158" s="18" t="s">
        <v>595</v>
      </c>
      <c r="N158" s="19"/>
    </row>
    <row r="159" spans="1:14" ht="22.5" x14ac:dyDescent="0.25">
      <c r="A159" s="18" t="s">
        <v>244</v>
      </c>
      <c r="B159" s="18">
        <v>5.6</v>
      </c>
      <c r="C159" s="18" t="s">
        <v>240</v>
      </c>
      <c r="D159" s="22" t="s">
        <v>306</v>
      </c>
      <c r="E159" s="22" t="s">
        <v>331</v>
      </c>
      <c r="F159" s="20" t="s">
        <v>28</v>
      </c>
      <c r="G159" s="15">
        <v>1.5247340425531919</v>
      </c>
      <c r="H159" s="164">
        <v>1</v>
      </c>
      <c r="I159" s="165">
        <v>1</v>
      </c>
      <c r="J159" s="158">
        <f>365/84*3</f>
        <v>13.035714285714285</v>
      </c>
      <c r="K159" s="16">
        <f t="shared" si="4"/>
        <v>0.11696589915476542</v>
      </c>
      <c r="L159" s="22" t="s">
        <v>596</v>
      </c>
      <c r="M159" s="14" t="s">
        <v>332</v>
      </c>
      <c r="N159" s="22"/>
    </row>
    <row r="160" spans="1:14" ht="22.5" x14ac:dyDescent="0.25">
      <c r="A160" s="18" t="s">
        <v>244</v>
      </c>
      <c r="B160" s="18">
        <v>5.6</v>
      </c>
      <c r="C160" s="18" t="s">
        <v>240</v>
      </c>
      <c r="D160" s="22" t="s">
        <v>306</v>
      </c>
      <c r="E160" s="22" t="s">
        <v>335</v>
      </c>
      <c r="F160" s="36" t="s">
        <v>28</v>
      </c>
      <c r="G160" s="155">
        <v>1.1294326241134753</v>
      </c>
      <c r="H160" s="156">
        <v>1</v>
      </c>
      <c r="I160" s="156">
        <v>1</v>
      </c>
      <c r="J160" s="158">
        <f>365/84*3</f>
        <v>13.035714285714285</v>
      </c>
      <c r="K160" s="16">
        <f t="shared" si="4"/>
        <v>8.6641406781307703E-2</v>
      </c>
      <c r="L160" s="22" t="s">
        <v>597</v>
      </c>
      <c r="M160" s="14" t="s">
        <v>336</v>
      </c>
      <c r="N160" s="22"/>
    </row>
    <row r="161" spans="1:14" ht="67.5" x14ac:dyDescent="0.25">
      <c r="A161" s="18" t="s">
        <v>244</v>
      </c>
      <c r="B161" s="18">
        <v>5.6</v>
      </c>
      <c r="C161" s="18" t="s">
        <v>240</v>
      </c>
      <c r="D161" s="19" t="s">
        <v>598</v>
      </c>
      <c r="E161" s="22" t="s">
        <v>338</v>
      </c>
      <c r="F161" s="36" t="s">
        <v>27</v>
      </c>
      <c r="G161" s="155">
        <v>4.0659574468085111</v>
      </c>
      <c r="H161" s="156">
        <v>1</v>
      </c>
      <c r="I161" s="156">
        <v>1</v>
      </c>
      <c r="J161" s="158">
        <f>365/7*5</f>
        <v>260.71428571428572</v>
      </c>
      <c r="K161" s="16">
        <f t="shared" si="4"/>
        <v>1.5595453220635385E-2</v>
      </c>
      <c r="L161" s="22" t="s">
        <v>602</v>
      </c>
      <c r="M161" s="14" t="s">
        <v>603</v>
      </c>
      <c r="N161" s="19"/>
    </row>
    <row r="162" spans="1:14" ht="22.5" x14ac:dyDescent="0.25">
      <c r="A162" s="18" t="s">
        <v>244</v>
      </c>
      <c r="B162" s="18">
        <v>5.6</v>
      </c>
      <c r="C162" s="18" t="s">
        <v>240</v>
      </c>
      <c r="D162" s="19" t="s">
        <v>598</v>
      </c>
      <c r="E162" s="22" t="s">
        <v>604</v>
      </c>
      <c r="F162" s="36" t="s">
        <v>27</v>
      </c>
      <c r="G162" s="156">
        <v>2.5412234042553195</v>
      </c>
      <c r="H162" s="156">
        <v>1</v>
      </c>
      <c r="I162" s="156">
        <v>1</v>
      </c>
      <c r="J162" s="158">
        <f>365/7*5</f>
        <v>260.71428571428572</v>
      </c>
      <c r="K162" s="16">
        <f t="shared" si="4"/>
        <v>9.7471582628971161E-3</v>
      </c>
      <c r="L162" s="22" t="s">
        <v>605</v>
      </c>
      <c r="M162" s="48" t="s">
        <v>606</v>
      </c>
      <c r="N162" s="19"/>
    </row>
    <row r="163" spans="1:14" x14ac:dyDescent="0.25">
      <c r="A163" s="22" t="s">
        <v>244</v>
      </c>
      <c r="B163" s="26">
        <v>5.6</v>
      </c>
      <c r="C163" s="18" t="s">
        <v>240</v>
      </c>
      <c r="D163" s="14" t="s">
        <v>339</v>
      </c>
      <c r="E163" s="14" t="s">
        <v>346</v>
      </c>
      <c r="F163" s="19" t="s">
        <v>28</v>
      </c>
      <c r="G163" s="15">
        <v>0.84707446808510656</v>
      </c>
      <c r="H163" s="164">
        <v>1</v>
      </c>
      <c r="I163" s="164">
        <v>1</v>
      </c>
      <c r="J163" s="158">
        <f>365/7</f>
        <v>52.142857142857146</v>
      </c>
      <c r="K163" s="16">
        <f t="shared" si="4"/>
        <v>1.6245263771495193E-2</v>
      </c>
      <c r="L163" s="22" t="s">
        <v>609</v>
      </c>
      <c r="M163" s="1" t="s">
        <v>347</v>
      </c>
      <c r="N163" s="19"/>
    </row>
    <row r="164" spans="1:14" x14ac:dyDescent="0.25">
      <c r="A164" s="7" t="s">
        <v>244</v>
      </c>
      <c r="B164" s="18">
        <v>5.6</v>
      </c>
      <c r="C164" s="18" t="s">
        <v>240</v>
      </c>
      <c r="D164" s="14" t="s">
        <v>339</v>
      </c>
      <c r="E164" s="14" t="s">
        <v>348</v>
      </c>
      <c r="F164" s="7" t="s">
        <v>27</v>
      </c>
      <c r="G164" s="16">
        <v>1.3553191489361704</v>
      </c>
      <c r="H164" s="29">
        <v>1</v>
      </c>
      <c r="I164" s="29">
        <v>1</v>
      </c>
      <c r="J164" s="152">
        <f>365/7</f>
        <v>52.142857142857146</v>
      </c>
      <c r="K164" s="16">
        <f t="shared" si="4"/>
        <v>2.599242203439231E-2</v>
      </c>
      <c r="L164" s="8" t="s">
        <v>630</v>
      </c>
      <c r="M164" s="14" t="s">
        <v>631</v>
      </c>
      <c r="N164" s="46"/>
    </row>
    <row r="165" spans="1:14" ht="22.5" x14ac:dyDescent="0.25">
      <c r="A165" s="19" t="s">
        <v>244</v>
      </c>
      <c r="B165" s="1">
        <v>5.6</v>
      </c>
      <c r="C165" s="18" t="s">
        <v>240</v>
      </c>
      <c r="D165" s="14" t="s">
        <v>339</v>
      </c>
      <c r="E165" s="19" t="s">
        <v>345</v>
      </c>
      <c r="F165" s="7" t="s">
        <v>28</v>
      </c>
      <c r="G165" s="15">
        <v>0.50824468085106389</v>
      </c>
      <c r="H165" s="164">
        <v>1</v>
      </c>
      <c r="I165" s="164">
        <v>1</v>
      </c>
      <c r="J165" s="166">
        <f>365/84*2</f>
        <v>8.6904761904761898</v>
      </c>
      <c r="K165" s="16">
        <f t="shared" ref="K165:K169" si="5">G165*I165/J165</f>
        <v>5.8482949577382697E-2</v>
      </c>
      <c r="L165" s="19" t="s">
        <v>632</v>
      </c>
      <c r="M165" s="14" t="s">
        <v>633</v>
      </c>
      <c r="N165" s="46"/>
    </row>
    <row r="166" spans="1:14" ht="56.25" x14ac:dyDescent="0.25">
      <c r="A166" s="18" t="s">
        <v>244</v>
      </c>
      <c r="B166" s="18">
        <v>5.6</v>
      </c>
      <c r="C166" s="18" t="s">
        <v>240</v>
      </c>
      <c r="D166" s="14" t="s">
        <v>339</v>
      </c>
      <c r="E166" s="22" t="s">
        <v>337</v>
      </c>
      <c r="F166" s="36" t="s">
        <v>28</v>
      </c>
      <c r="G166" s="156">
        <v>1.0729609929078014</v>
      </c>
      <c r="H166" s="156">
        <v>1</v>
      </c>
      <c r="I166" s="156">
        <v>1</v>
      </c>
      <c r="J166" s="158">
        <v>2</v>
      </c>
      <c r="K166" s="16">
        <f t="shared" si="5"/>
        <v>0.53648049645390072</v>
      </c>
      <c r="L166" s="22" t="s">
        <v>634</v>
      </c>
      <c r="M166" s="14" t="s">
        <v>588</v>
      </c>
      <c r="N166" s="19"/>
    </row>
    <row r="167" spans="1:14" ht="22.5" x14ac:dyDescent="0.25">
      <c r="A167" s="18" t="s">
        <v>244</v>
      </c>
      <c r="B167" s="18">
        <v>5.6</v>
      </c>
      <c r="C167" s="18" t="s">
        <v>240</v>
      </c>
      <c r="D167" s="14" t="s">
        <v>339</v>
      </c>
      <c r="E167" s="14" t="s">
        <v>635</v>
      </c>
      <c r="F167" s="7" t="s">
        <v>28</v>
      </c>
      <c r="G167" s="15">
        <v>1.0164893617021278</v>
      </c>
      <c r="H167" s="164">
        <v>1</v>
      </c>
      <c r="I167" s="164">
        <v>1</v>
      </c>
      <c r="J167" s="166">
        <f>365/84*2</f>
        <v>8.6904761904761898</v>
      </c>
      <c r="K167" s="16">
        <f t="shared" si="5"/>
        <v>0.11696589915476539</v>
      </c>
      <c r="L167" s="19" t="s">
        <v>632</v>
      </c>
      <c r="M167" s="14" t="s">
        <v>636</v>
      </c>
      <c r="N167" s="19"/>
    </row>
    <row r="168" spans="1:14" ht="22.5" x14ac:dyDescent="0.25">
      <c r="A168" s="22" t="s">
        <v>244</v>
      </c>
      <c r="B168" s="26">
        <v>5.6</v>
      </c>
      <c r="C168" s="18" t="s">
        <v>240</v>
      </c>
      <c r="D168" s="14" t="s">
        <v>339</v>
      </c>
      <c r="E168" s="14" t="s">
        <v>307</v>
      </c>
      <c r="F168" s="22" t="s">
        <v>27</v>
      </c>
      <c r="G168" s="155">
        <v>1.1294326241134753</v>
      </c>
      <c r="H168" s="156">
        <v>50</v>
      </c>
      <c r="I168" s="156">
        <v>1</v>
      </c>
      <c r="J168" s="158">
        <v>50</v>
      </c>
      <c r="K168" s="16">
        <f t="shared" si="5"/>
        <v>2.2588652482269506E-2</v>
      </c>
      <c r="L168" s="22" t="s">
        <v>639</v>
      </c>
      <c r="M168" s="14" t="s">
        <v>640</v>
      </c>
      <c r="N168" s="19"/>
    </row>
    <row r="169" spans="1:14" ht="33.75" x14ac:dyDescent="0.25">
      <c r="A169" s="7" t="s">
        <v>244</v>
      </c>
      <c r="B169" s="18">
        <v>12.1</v>
      </c>
      <c r="C169" s="18" t="s">
        <v>240</v>
      </c>
      <c r="D169" s="4" t="s">
        <v>339</v>
      </c>
      <c r="E169" s="4" t="s">
        <v>303</v>
      </c>
      <c r="F169" s="7" t="s">
        <v>75</v>
      </c>
      <c r="G169" s="16">
        <v>13.18888888888889</v>
      </c>
      <c r="H169" s="29">
        <v>1</v>
      </c>
      <c r="I169" s="29">
        <v>1</v>
      </c>
      <c r="J169" s="152">
        <f>365/7*20</f>
        <v>1042.8571428571429</v>
      </c>
      <c r="K169" s="16">
        <f t="shared" si="5"/>
        <v>1.2646879756468799E-2</v>
      </c>
      <c r="L169" s="8" t="s">
        <v>629</v>
      </c>
      <c r="M169" s="43" t="s">
        <v>349</v>
      </c>
      <c r="N169" s="22"/>
    </row>
    <row r="171" spans="1:14" x14ac:dyDescent="0.25">
      <c r="D171" s="142" t="s">
        <v>1293</v>
      </c>
      <c r="E171" s="141">
        <f>SUM(K5:K169)</f>
        <v>21.223310543836309</v>
      </c>
    </row>
    <row r="196" spans="4:4" x14ac:dyDescent="0.25">
      <c r="D196" s="119"/>
    </row>
    <row r="197" spans="4:4" x14ac:dyDescent="0.25">
      <c r="D197" s="119"/>
    </row>
    <row r="198" spans="4:4" x14ac:dyDescent="0.25">
      <c r="D198" s="119"/>
    </row>
    <row r="200" spans="4:4" x14ac:dyDescent="0.25">
      <c r="D200" s="119"/>
    </row>
    <row r="201" spans="4:4" x14ac:dyDescent="0.25">
      <c r="D201" s="119"/>
    </row>
    <row r="206" spans="4:4" x14ac:dyDescent="0.25">
      <c r="D206" s="119"/>
    </row>
    <row r="207" spans="4:4" x14ac:dyDescent="0.25">
      <c r="D207" s="119"/>
    </row>
    <row r="241" spans="4:4" x14ac:dyDescent="0.25">
      <c r="D241" s="119"/>
    </row>
    <row r="289" spans="4:4" x14ac:dyDescent="0.25">
      <c r="D289" s="119"/>
    </row>
    <row r="347" spans="1:14" x14ac:dyDescent="0.25">
      <c r="A347" s="18"/>
      <c r="B347" s="18"/>
      <c r="C347" s="14"/>
      <c r="D347" s="14"/>
      <c r="E347" s="14"/>
      <c r="F347" s="18"/>
      <c r="G347" s="18"/>
      <c r="H347" s="18"/>
      <c r="I347" s="18"/>
      <c r="J347" s="88"/>
      <c r="K347" s="88"/>
      <c r="L347" s="14"/>
      <c r="M347" s="14"/>
      <c r="N347" s="14"/>
    </row>
    <row r="348" spans="1:14" x14ac:dyDescent="0.25">
      <c r="A348" s="18"/>
      <c r="B348" s="18"/>
      <c r="C348" s="14"/>
      <c r="D348" s="14"/>
      <c r="E348" s="14"/>
      <c r="F348" s="14"/>
      <c r="G348" s="88"/>
      <c r="H348" s="18"/>
      <c r="I348" s="18"/>
      <c r="J348" s="88"/>
      <c r="K348" s="88"/>
      <c r="L348" s="14"/>
      <c r="M348" s="14"/>
      <c r="N348" s="18"/>
    </row>
    <row r="349" spans="1:14" x14ac:dyDescent="0.25">
      <c r="A349" s="22"/>
      <c r="B349" s="26"/>
      <c r="C349" s="14"/>
      <c r="D349" s="14"/>
      <c r="E349" s="14"/>
      <c r="F349" s="14"/>
      <c r="G349" s="88"/>
      <c r="H349" s="18"/>
      <c r="I349" s="120"/>
      <c r="J349" s="88"/>
      <c r="K349" s="88"/>
      <c r="L349" s="14"/>
      <c r="M349" s="14"/>
      <c r="N349" s="107"/>
    </row>
    <row r="350" spans="1:14" x14ac:dyDescent="0.25">
      <c r="A350" s="18"/>
      <c r="B350" s="18"/>
      <c r="C350" s="14"/>
      <c r="D350" s="14"/>
      <c r="E350" s="14"/>
      <c r="F350" s="14"/>
      <c r="G350" s="88"/>
      <c r="H350" s="18"/>
      <c r="I350" s="18"/>
      <c r="J350" s="88"/>
      <c r="K350" s="88"/>
      <c r="L350" s="14"/>
      <c r="M350" s="14"/>
      <c r="N350" s="18"/>
    </row>
    <row r="351" spans="1:14" x14ac:dyDescent="0.25">
      <c r="A351" s="18"/>
      <c r="B351" s="18"/>
      <c r="C351" s="14"/>
      <c r="D351" s="14"/>
      <c r="E351" s="22"/>
      <c r="F351" s="36"/>
      <c r="G351" s="27"/>
      <c r="H351" s="26"/>
      <c r="I351" s="103"/>
      <c r="J351" s="88"/>
      <c r="K351" s="88"/>
      <c r="L351" s="19"/>
      <c r="M351" s="14"/>
      <c r="N351" s="30"/>
    </row>
    <row r="352" spans="1:14" x14ac:dyDescent="0.25">
      <c r="A352" s="18"/>
      <c r="B352" s="18"/>
      <c r="C352" s="14"/>
      <c r="D352" s="14"/>
      <c r="E352" s="19"/>
      <c r="F352" s="20"/>
      <c r="G352" s="17"/>
      <c r="H352" s="1"/>
      <c r="I352" s="121"/>
      <c r="J352" s="17"/>
      <c r="K352" s="88"/>
      <c r="L352" s="19"/>
      <c r="M352" s="26"/>
      <c r="N352" s="19"/>
    </row>
    <row r="353" spans="1:14" x14ac:dyDescent="0.25">
      <c r="A353" s="18"/>
      <c r="B353" s="18"/>
      <c r="C353" s="14"/>
      <c r="D353" s="14"/>
      <c r="E353" s="22"/>
      <c r="F353" s="36"/>
      <c r="G353" s="27"/>
      <c r="H353" s="26"/>
      <c r="I353" s="103"/>
      <c r="J353" s="88"/>
      <c r="K353" s="88"/>
      <c r="L353" s="22"/>
      <c r="M353" s="11"/>
      <c r="N353" s="19"/>
    </row>
    <row r="354" spans="1:14" x14ac:dyDescent="0.25">
      <c r="A354" s="18"/>
      <c r="B354" s="18"/>
      <c r="C354" s="14"/>
      <c r="D354" s="14"/>
      <c r="E354" s="19"/>
      <c r="F354" s="20"/>
      <c r="G354" s="17"/>
      <c r="H354" s="1"/>
      <c r="I354" s="121"/>
      <c r="J354" s="17"/>
      <c r="K354" s="88"/>
      <c r="L354" s="22"/>
      <c r="M354" s="14"/>
      <c r="N354" s="43"/>
    </row>
    <row r="355" spans="1:14" x14ac:dyDescent="0.25">
      <c r="A355" s="18"/>
      <c r="B355" s="18"/>
      <c r="C355" s="14"/>
      <c r="D355" s="14"/>
      <c r="E355" s="19"/>
      <c r="F355" s="20"/>
      <c r="G355" s="17"/>
      <c r="H355" s="1"/>
      <c r="I355" s="121"/>
      <c r="J355" s="17"/>
      <c r="K355" s="88"/>
      <c r="L355" s="19"/>
      <c r="M355" s="14"/>
      <c r="N355" s="19"/>
    </row>
    <row r="356" spans="1:14" x14ac:dyDescent="0.25">
      <c r="A356" s="18"/>
      <c r="B356" s="18"/>
      <c r="C356" s="14"/>
      <c r="D356" s="14"/>
      <c r="E356" s="22"/>
      <c r="F356" s="20"/>
      <c r="G356" s="17"/>
      <c r="H356" s="1"/>
      <c r="I356" s="121"/>
      <c r="J356" s="17"/>
      <c r="K356" s="88"/>
      <c r="L356" s="19"/>
      <c r="M356" s="14"/>
      <c r="N356" s="19"/>
    </row>
    <row r="357" spans="1:14" x14ac:dyDescent="0.25">
      <c r="A357" s="18"/>
      <c r="B357" s="18"/>
      <c r="C357" s="14"/>
      <c r="D357" s="14"/>
      <c r="E357" s="19"/>
      <c r="F357" s="20"/>
      <c r="G357" s="17"/>
      <c r="H357" s="1"/>
      <c r="I357" s="121"/>
      <c r="J357" s="17"/>
      <c r="K357" s="88"/>
      <c r="L357" s="22"/>
      <c r="M357" s="35"/>
      <c r="N357" s="19"/>
    </row>
    <row r="358" spans="1:14" x14ac:dyDescent="0.25">
      <c r="A358" s="18"/>
      <c r="B358" s="18"/>
      <c r="C358" s="14"/>
      <c r="D358" s="14"/>
      <c r="E358" s="19"/>
      <c r="F358" s="20"/>
      <c r="G358" s="17"/>
      <c r="H358" s="1"/>
      <c r="I358" s="121"/>
      <c r="J358" s="17"/>
      <c r="K358" s="88"/>
      <c r="L358" s="19"/>
      <c r="M358" s="14"/>
      <c r="N358" s="30"/>
    </row>
    <row r="359" spans="1:14" x14ac:dyDescent="0.25">
      <c r="A359" s="18"/>
      <c r="B359" s="18"/>
      <c r="C359" s="14"/>
      <c r="D359" s="14"/>
      <c r="E359" s="19"/>
      <c r="F359" s="20"/>
      <c r="G359" s="17"/>
      <c r="H359" s="1"/>
      <c r="I359" s="121"/>
      <c r="J359" s="17"/>
      <c r="K359" s="88"/>
      <c r="L359" s="19"/>
      <c r="M359" s="1"/>
      <c r="N359" s="19"/>
    </row>
    <row r="360" spans="1:14" x14ac:dyDescent="0.25">
      <c r="A360" s="18"/>
      <c r="B360" s="18"/>
      <c r="C360" s="14"/>
      <c r="D360" s="14"/>
      <c r="E360" s="19"/>
      <c r="F360" s="36"/>
      <c r="G360" s="27"/>
      <c r="H360" s="26"/>
      <c r="I360" s="103"/>
      <c r="J360" s="27"/>
      <c r="K360" s="88"/>
      <c r="L360" s="19"/>
      <c r="M360" s="14"/>
      <c r="N360" s="22"/>
    </row>
    <row r="361" spans="1:14" x14ac:dyDescent="0.25">
      <c r="A361" s="18"/>
      <c r="B361" s="18"/>
      <c r="C361" s="14"/>
      <c r="D361" s="14"/>
      <c r="E361" s="19"/>
      <c r="F361" s="20"/>
      <c r="G361" s="17"/>
      <c r="H361" s="1"/>
      <c r="I361" s="121"/>
      <c r="J361" s="17"/>
      <c r="K361" s="88"/>
      <c r="L361" s="19"/>
      <c r="M361" s="14"/>
      <c r="N361" s="19"/>
    </row>
    <row r="362" spans="1:14" x14ac:dyDescent="0.25">
      <c r="A362" s="19"/>
      <c r="B362" s="1"/>
      <c r="C362" s="14"/>
      <c r="D362" s="37"/>
      <c r="E362" s="14"/>
      <c r="F362" s="14"/>
      <c r="G362" s="18"/>
      <c r="H362" s="18"/>
      <c r="I362" s="120"/>
      <c r="J362" s="88"/>
      <c r="K362" s="88"/>
      <c r="L362" s="14"/>
      <c r="M362" s="26"/>
      <c r="N362" s="19"/>
    </row>
    <row r="363" spans="1:14" x14ac:dyDescent="0.25">
      <c r="A363" s="18"/>
      <c r="B363" s="18"/>
      <c r="C363" s="14"/>
      <c r="D363" s="37"/>
      <c r="E363" s="14"/>
      <c r="F363" s="14"/>
      <c r="G363" s="88"/>
      <c r="H363" s="18"/>
      <c r="I363" s="120"/>
      <c r="J363" s="18"/>
      <c r="K363" s="88"/>
      <c r="L363" s="14"/>
      <c r="M363" s="50"/>
      <c r="N363" s="14"/>
    </row>
    <row r="364" spans="1:14" x14ac:dyDescent="0.25">
      <c r="A364" s="19"/>
      <c r="B364" s="1"/>
      <c r="C364" s="14"/>
      <c r="D364" s="37"/>
      <c r="E364" s="14"/>
      <c r="F364" s="18"/>
      <c r="G364" s="18"/>
      <c r="H364" s="18"/>
      <c r="I364" s="18"/>
      <c r="J364" s="88"/>
      <c r="K364" s="88"/>
      <c r="L364" s="14"/>
      <c r="M364" s="14"/>
      <c r="N364" s="14"/>
    </row>
    <row r="365" spans="1:14" x14ac:dyDescent="0.25">
      <c r="A365" s="18"/>
      <c r="B365" s="18"/>
      <c r="C365" s="14"/>
      <c r="D365" s="37"/>
      <c r="E365" s="14"/>
      <c r="F365" s="14"/>
      <c r="G365" s="88"/>
      <c r="H365" s="18"/>
      <c r="I365" s="18"/>
      <c r="J365" s="88"/>
      <c r="K365" s="88"/>
      <c r="L365" s="14"/>
      <c r="M365" s="50"/>
      <c r="N365" s="18"/>
    </row>
    <row r="366" spans="1:14" x14ac:dyDescent="0.25">
      <c r="A366" s="22"/>
      <c r="B366" s="26"/>
      <c r="C366" s="14"/>
      <c r="D366" s="14"/>
      <c r="E366" s="14"/>
      <c r="F366" s="14"/>
      <c r="G366" s="88"/>
      <c r="H366" s="18"/>
      <c r="I366" s="120"/>
      <c r="J366" s="88"/>
      <c r="K366" s="88"/>
      <c r="L366" s="14"/>
      <c r="M366" s="14"/>
      <c r="N366" s="107"/>
    </row>
    <row r="367" spans="1:14" x14ac:dyDescent="0.25">
      <c r="A367" s="18"/>
      <c r="B367" s="18"/>
      <c r="C367" s="14"/>
      <c r="D367" s="14"/>
      <c r="E367" s="14"/>
      <c r="F367" s="14"/>
      <c r="G367" s="88"/>
      <c r="H367" s="18"/>
      <c r="I367" s="18"/>
      <c r="J367" s="88"/>
      <c r="K367" s="88"/>
      <c r="L367" s="14"/>
      <c r="M367" s="14"/>
      <c r="N367" s="18"/>
    </row>
    <row r="368" spans="1:14" x14ac:dyDescent="0.25">
      <c r="A368" s="19"/>
      <c r="B368" s="1"/>
      <c r="C368" s="14"/>
      <c r="D368" s="19"/>
      <c r="E368" s="22"/>
      <c r="F368" s="22"/>
      <c r="G368" s="26"/>
      <c r="H368" s="26"/>
      <c r="I368" s="26"/>
      <c r="J368" s="27"/>
      <c r="K368" s="88"/>
      <c r="L368" s="19"/>
      <c r="M368" s="26"/>
      <c r="N368" s="19"/>
    </row>
    <row r="369" spans="1:14" x14ac:dyDescent="0.25">
      <c r="A369" s="19"/>
      <c r="B369" s="1"/>
      <c r="C369" s="14"/>
      <c r="D369" s="19"/>
      <c r="E369" s="22"/>
      <c r="F369" s="22"/>
      <c r="G369" s="26"/>
      <c r="H369" s="26"/>
      <c r="I369" s="26"/>
      <c r="J369" s="27"/>
      <c r="K369" s="88"/>
      <c r="L369" s="19"/>
      <c r="M369" s="26"/>
      <c r="N369" s="30"/>
    </row>
    <row r="370" spans="1:14" x14ac:dyDescent="0.25">
      <c r="A370" s="18"/>
      <c r="B370" s="18"/>
      <c r="C370" s="14"/>
      <c r="D370" s="19"/>
      <c r="E370" s="19"/>
      <c r="F370" s="19"/>
      <c r="G370" s="17"/>
      <c r="H370" s="1"/>
      <c r="I370" s="121"/>
      <c r="J370" s="125"/>
      <c r="K370" s="88"/>
      <c r="L370" s="19"/>
      <c r="M370" s="26"/>
      <c r="N370" s="30"/>
    </row>
    <row r="371" spans="1:14" x14ac:dyDescent="0.25">
      <c r="A371" s="19"/>
      <c r="B371" s="1"/>
      <c r="C371" s="14"/>
      <c r="D371" s="19"/>
      <c r="E371" s="19"/>
      <c r="F371" s="19"/>
      <c r="G371" s="17"/>
      <c r="H371" s="1"/>
      <c r="I371" s="121"/>
      <c r="J371" s="125"/>
      <c r="K371" s="88"/>
      <c r="L371" s="19"/>
      <c r="M371" s="14"/>
      <c r="N371" s="19"/>
    </row>
    <row r="372" spans="1:14" x14ac:dyDescent="0.25">
      <c r="A372" s="18"/>
      <c r="B372" s="18"/>
      <c r="C372" s="14"/>
      <c r="D372" s="37"/>
      <c r="E372" s="14"/>
      <c r="F372" s="14"/>
      <c r="G372" s="88"/>
      <c r="H372" s="18"/>
      <c r="I372" s="120"/>
      <c r="J372" s="18"/>
      <c r="K372" s="88"/>
      <c r="L372" s="14"/>
      <c r="M372" s="50"/>
      <c r="N372" s="19"/>
    </row>
    <row r="373" spans="1:14" x14ac:dyDescent="0.25">
      <c r="A373" s="19"/>
      <c r="B373" s="1"/>
      <c r="C373" s="14"/>
      <c r="D373" s="37"/>
      <c r="E373" s="14"/>
      <c r="F373" s="14"/>
      <c r="G373" s="88"/>
      <c r="H373" s="18"/>
      <c r="I373" s="18"/>
      <c r="J373" s="126"/>
      <c r="K373" s="88"/>
      <c r="L373" s="14"/>
      <c r="M373" s="14"/>
      <c r="N373" s="19"/>
    </row>
    <row r="374" spans="1:14" x14ac:dyDescent="0.25">
      <c r="A374" s="18"/>
      <c r="B374" s="18"/>
      <c r="C374" s="14"/>
      <c r="D374" s="19"/>
      <c r="E374" s="19"/>
      <c r="F374" s="36"/>
      <c r="G374" s="27"/>
      <c r="H374" s="26"/>
      <c r="I374" s="103"/>
      <c r="J374" s="27"/>
      <c r="K374" s="88"/>
      <c r="L374" s="19"/>
      <c r="M374" s="14"/>
      <c r="N374" s="19"/>
    </row>
    <row r="375" spans="1:14" x14ac:dyDescent="0.25">
      <c r="A375" s="18"/>
      <c r="B375" s="18"/>
      <c r="C375" s="14"/>
      <c r="D375" s="19"/>
      <c r="E375" s="19"/>
      <c r="F375" s="36"/>
      <c r="G375" s="27"/>
      <c r="H375" s="26"/>
      <c r="I375" s="103"/>
      <c r="J375" s="27"/>
      <c r="K375" s="88"/>
      <c r="L375" s="19"/>
      <c r="M375" s="26"/>
      <c r="N375" s="19"/>
    </row>
    <row r="376" spans="1:14" x14ac:dyDescent="0.25">
      <c r="A376" s="18"/>
      <c r="B376" s="18"/>
      <c r="C376" s="14"/>
      <c r="D376" s="19"/>
      <c r="E376" s="19"/>
      <c r="F376" s="36"/>
      <c r="G376" s="27"/>
      <c r="H376" s="26"/>
      <c r="I376" s="103"/>
      <c r="J376" s="27"/>
      <c r="K376" s="88"/>
      <c r="L376" s="19"/>
      <c r="M376" s="14"/>
      <c r="N376" s="19"/>
    </row>
    <row r="377" spans="1:14" x14ac:dyDescent="0.25">
      <c r="A377" s="18"/>
      <c r="B377" s="18"/>
      <c r="C377" s="14"/>
      <c r="D377" s="22"/>
      <c r="E377" s="22"/>
      <c r="F377" s="36"/>
      <c r="G377" s="27"/>
      <c r="H377" s="26"/>
      <c r="I377" s="103"/>
      <c r="J377" s="27"/>
      <c r="K377" s="88"/>
      <c r="L377" s="22"/>
      <c r="M377" s="26"/>
      <c r="N377" s="19"/>
    </row>
    <row r="378" spans="1:14" x14ac:dyDescent="0.25">
      <c r="A378" s="18"/>
      <c r="B378" s="18"/>
      <c r="C378" s="14"/>
      <c r="D378" s="19"/>
      <c r="E378" s="22"/>
      <c r="F378" s="36"/>
      <c r="G378" s="27"/>
      <c r="H378" s="26"/>
      <c r="I378" s="103"/>
      <c r="J378" s="27"/>
      <c r="K378" s="88"/>
      <c r="L378" s="19"/>
      <c r="M378" s="14"/>
      <c r="N378" s="19"/>
    </row>
    <row r="379" spans="1:14" x14ac:dyDescent="0.25">
      <c r="A379" s="18"/>
      <c r="B379" s="18"/>
      <c r="C379" s="14"/>
      <c r="D379" s="19"/>
      <c r="E379" s="22"/>
      <c r="F379" s="36"/>
      <c r="G379" s="27"/>
      <c r="H379" s="26"/>
      <c r="I379" s="103"/>
      <c r="J379" s="27"/>
      <c r="K379" s="88"/>
      <c r="L379" s="19"/>
      <c r="M379" s="14"/>
      <c r="N379" s="19"/>
    </row>
    <row r="380" spans="1:14" x14ac:dyDescent="0.25">
      <c r="A380" s="18"/>
      <c r="B380" s="18"/>
      <c r="C380" s="14"/>
      <c r="D380" s="19"/>
      <c r="E380" s="22"/>
      <c r="F380" s="22"/>
      <c r="G380" s="27"/>
      <c r="H380" s="26"/>
      <c r="I380" s="103"/>
      <c r="J380" s="18"/>
      <c r="K380" s="88"/>
      <c r="L380" s="19"/>
      <c r="M380" s="18"/>
      <c r="N380" s="19"/>
    </row>
    <row r="381" spans="1:14" x14ac:dyDescent="0.25">
      <c r="A381" s="19"/>
      <c r="B381" s="1"/>
      <c r="C381" s="14"/>
      <c r="D381" s="19"/>
      <c r="E381" s="22"/>
      <c r="F381" s="36"/>
      <c r="G381" s="27"/>
      <c r="H381" s="26"/>
      <c r="I381" s="103"/>
      <c r="J381" s="27"/>
      <c r="K381" s="88"/>
      <c r="L381" s="22"/>
      <c r="M381" s="26"/>
      <c r="N381" s="19"/>
    </row>
    <row r="382" spans="1:14" x14ac:dyDescent="0.25">
      <c r="A382" s="19"/>
      <c r="B382" s="1"/>
      <c r="C382" s="14"/>
      <c r="D382" s="19"/>
      <c r="E382" s="22"/>
      <c r="F382" s="36"/>
      <c r="G382" s="27"/>
      <c r="H382" s="26"/>
      <c r="I382" s="103"/>
      <c r="J382" s="27"/>
      <c r="K382" s="88"/>
      <c r="L382" s="19"/>
      <c r="M382" s="34"/>
      <c r="N382" s="108"/>
    </row>
    <row r="383" spans="1:14" x14ac:dyDescent="0.25">
      <c r="A383" s="18"/>
      <c r="B383" s="18"/>
      <c r="C383" s="14"/>
      <c r="D383" s="19"/>
      <c r="E383" s="22"/>
      <c r="F383" s="36"/>
      <c r="G383" s="27"/>
      <c r="H383" s="103"/>
      <c r="I383" s="18"/>
      <c r="J383" s="27"/>
      <c r="K383" s="88"/>
      <c r="L383" s="19"/>
      <c r="M383" s="14"/>
      <c r="N383" s="44"/>
    </row>
    <row r="384" spans="1:14" x14ac:dyDescent="0.25">
      <c r="A384" s="18"/>
      <c r="B384" s="18"/>
      <c r="C384" s="14"/>
      <c r="D384" s="19"/>
      <c r="E384" s="19"/>
      <c r="F384" s="20"/>
      <c r="G384" s="27"/>
      <c r="H384" s="1"/>
      <c r="I384" s="122"/>
      <c r="J384" s="17"/>
      <c r="K384" s="88"/>
      <c r="L384" s="19"/>
      <c r="M384" s="14"/>
      <c r="N384" s="14"/>
    </row>
    <row r="385" spans="1:14" x14ac:dyDescent="0.25">
      <c r="A385" s="47"/>
      <c r="B385" s="47"/>
      <c r="C385" s="14"/>
      <c r="D385" s="1"/>
      <c r="E385" s="1"/>
      <c r="F385" s="20"/>
      <c r="G385" s="27"/>
      <c r="H385" s="1"/>
      <c r="I385" s="122"/>
      <c r="J385" s="17"/>
      <c r="K385" s="88"/>
      <c r="L385" s="26"/>
      <c r="M385" s="14"/>
      <c r="N385" s="18"/>
    </row>
    <row r="386" spans="1:14" x14ac:dyDescent="0.25">
      <c r="A386" s="18"/>
      <c r="B386" s="18"/>
      <c r="C386" s="14"/>
      <c r="D386" s="19"/>
      <c r="E386" s="19"/>
      <c r="F386" s="20"/>
      <c r="G386" s="27"/>
      <c r="H386" s="1"/>
      <c r="I386" s="122"/>
      <c r="J386" s="17"/>
      <c r="K386" s="88"/>
      <c r="L386" s="19"/>
      <c r="M386" s="14"/>
      <c r="N386" s="19"/>
    </row>
    <row r="387" spans="1:14" x14ac:dyDescent="0.25">
      <c r="A387" s="18"/>
      <c r="B387" s="18"/>
      <c r="C387" s="14"/>
      <c r="D387" s="19"/>
      <c r="E387" s="19"/>
      <c r="F387" s="20"/>
      <c r="G387" s="17"/>
      <c r="H387" s="1"/>
      <c r="I387" s="122"/>
      <c r="J387" s="17"/>
      <c r="K387" s="88"/>
      <c r="L387" s="19"/>
      <c r="M387" s="14"/>
      <c r="N387" s="19"/>
    </row>
    <row r="388" spans="1:14" x14ac:dyDescent="0.25">
      <c r="A388" s="18"/>
      <c r="B388" s="18"/>
      <c r="C388" s="14"/>
      <c r="D388" s="19"/>
      <c r="E388" s="19"/>
      <c r="F388" s="20"/>
      <c r="G388" s="17"/>
      <c r="H388" s="1"/>
      <c r="I388" s="122"/>
      <c r="J388" s="17"/>
      <c r="K388" s="88"/>
      <c r="L388" s="19"/>
      <c r="M388" s="14"/>
      <c r="N388" s="19"/>
    </row>
    <row r="389" spans="1:14" x14ac:dyDescent="0.25">
      <c r="A389" s="18"/>
      <c r="B389" s="18"/>
      <c r="C389" s="14"/>
      <c r="D389" s="22"/>
      <c r="E389" s="22"/>
      <c r="F389" s="36"/>
      <c r="G389" s="27"/>
      <c r="H389" s="26"/>
      <c r="I389" s="103"/>
      <c r="J389" s="27"/>
      <c r="K389" s="88"/>
      <c r="L389" s="22"/>
      <c r="M389" s="14"/>
      <c r="N389" s="22"/>
    </row>
    <row r="390" spans="1:14" x14ac:dyDescent="0.25">
      <c r="A390" s="38"/>
      <c r="B390" s="38"/>
      <c r="C390" s="14"/>
      <c r="D390" s="19"/>
      <c r="E390" s="19"/>
      <c r="F390" s="20"/>
      <c r="G390" s="17"/>
      <c r="H390" s="1"/>
      <c r="I390" s="122"/>
      <c r="J390" s="125"/>
      <c r="K390" s="88"/>
      <c r="L390" s="19"/>
      <c r="M390" s="1"/>
      <c r="N390" s="19"/>
    </row>
    <row r="391" spans="1:14" x14ac:dyDescent="0.25">
      <c r="A391" s="18"/>
      <c r="B391" s="18"/>
      <c r="C391" s="14"/>
      <c r="D391" s="14"/>
      <c r="E391" s="14"/>
      <c r="F391" s="36"/>
      <c r="G391" s="27"/>
      <c r="H391" s="1"/>
      <c r="I391" s="122"/>
      <c r="J391" s="17"/>
      <c r="K391" s="88"/>
      <c r="L391" s="19"/>
      <c r="M391" s="26"/>
      <c r="N391" s="19"/>
    </row>
    <row r="392" spans="1:14" x14ac:dyDescent="0.25">
      <c r="A392" s="18"/>
      <c r="B392" s="18"/>
      <c r="C392" s="14"/>
      <c r="D392" s="14"/>
      <c r="E392" s="14"/>
      <c r="F392" s="19"/>
      <c r="G392" s="17"/>
      <c r="H392" s="1"/>
      <c r="I392" s="121"/>
      <c r="J392" s="17"/>
      <c r="K392" s="88"/>
      <c r="L392" s="19"/>
      <c r="M392" s="1"/>
      <c r="N392" s="108"/>
    </row>
    <row r="393" spans="1:14" x14ac:dyDescent="0.25">
      <c r="A393" s="38"/>
      <c r="B393" s="38"/>
      <c r="C393" s="14"/>
      <c r="D393" s="19"/>
      <c r="E393" s="19"/>
      <c r="F393" s="20"/>
      <c r="G393" s="1"/>
      <c r="H393" s="1"/>
      <c r="I393" s="1"/>
      <c r="J393" s="17"/>
      <c r="K393" s="88"/>
      <c r="L393" s="19"/>
      <c r="M393" s="14"/>
      <c r="N393" s="19"/>
    </row>
    <row r="394" spans="1:14" x14ac:dyDescent="0.25">
      <c r="A394" s="38"/>
      <c r="B394" s="38"/>
      <c r="C394" s="14"/>
      <c r="D394" s="19"/>
      <c r="E394" s="22"/>
      <c r="F394" s="36"/>
      <c r="G394" s="27"/>
      <c r="H394" s="26"/>
      <c r="I394" s="26"/>
      <c r="J394" s="27"/>
      <c r="K394" s="88"/>
      <c r="L394" s="22"/>
      <c r="M394" s="48"/>
      <c r="N394" s="108"/>
    </row>
    <row r="395" spans="1:14" x14ac:dyDescent="0.25">
      <c r="A395" s="19"/>
      <c r="B395" s="18"/>
      <c r="C395" s="14"/>
      <c r="D395" s="19"/>
      <c r="E395" s="22"/>
      <c r="F395" s="36"/>
      <c r="G395" s="26"/>
      <c r="H395" s="26"/>
      <c r="I395" s="26"/>
      <c r="J395" s="27"/>
      <c r="K395" s="88"/>
      <c r="L395" s="19"/>
      <c r="M395" s="14"/>
      <c r="N395" s="19"/>
    </row>
    <row r="396" spans="1:14" x14ac:dyDescent="0.25">
      <c r="A396" s="22"/>
      <c r="B396" s="18"/>
      <c r="C396" s="14"/>
      <c r="D396" s="22"/>
      <c r="E396" s="22"/>
      <c r="F396" s="36"/>
      <c r="G396" s="27"/>
      <c r="H396" s="26"/>
      <c r="I396" s="26"/>
      <c r="J396" s="27"/>
      <c r="K396" s="88"/>
      <c r="L396" s="19"/>
      <c r="M396" s="14"/>
      <c r="N396" s="22"/>
    </row>
    <row r="397" spans="1:14" x14ac:dyDescent="0.25">
      <c r="A397" s="22"/>
      <c r="B397" s="18"/>
      <c r="C397" s="14"/>
      <c r="D397" s="22"/>
      <c r="E397" s="22"/>
      <c r="F397" s="36"/>
      <c r="G397" s="27"/>
      <c r="H397" s="26"/>
      <c r="I397" s="26"/>
      <c r="J397" s="27"/>
      <c r="K397" s="88"/>
      <c r="L397" s="19"/>
      <c r="M397" s="14"/>
      <c r="N397" s="22"/>
    </row>
    <row r="398" spans="1:14" x14ac:dyDescent="0.25">
      <c r="A398" s="19"/>
      <c r="B398" s="18"/>
      <c r="C398" s="14"/>
      <c r="D398" s="19"/>
      <c r="E398" s="19"/>
      <c r="F398" s="20"/>
      <c r="G398" s="1"/>
      <c r="H398" s="1"/>
      <c r="I398" s="1"/>
      <c r="J398" s="17"/>
      <c r="K398" s="88"/>
      <c r="L398" s="19"/>
      <c r="M398" s="14"/>
      <c r="N398" s="19"/>
    </row>
    <row r="399" spans="1:14" x14ac:dyDescent="0.25">
      <c r="A399" s="19"/>
      <c r="B399" s="18"/>
      <c r="C399" s="14"/>
      <c r="D399" s="19"/>
      <c r="E399" s="22"/>
      <c r="F399" s="36"/>
      <c r="G399" s="27"/>
      <c r="H399" s="26"/>
      <c r="I399" s="26"/>
      <c r="J399" s="27"/>
      <c r="K399" s="88"/>
      <c r="L399" s="22"/>
      <c r="M399" s="14"/>
      <c r="N399" s="19"/>
    </row>
    <row r="400" spans="1:14" x14ac:dyDescent="0.25">
      <c r="A400" s="19"/>
      <c r="B400" s="38"/>
      <c r="C400" s="14"/>
      <c r="D400" s="19"/>
      <c r="E400" s="19"/>
      <c r="F400" s="20"/>
      <c r="G400" s="17"/>
      <c r="H400" s="1"/>
      <c r="I400" s="1"/>
      <c r="J400" s="17"/>
      <c r="K400" s="88"/>
      <c r="L400" s="19"/>
      <c r="M400" s="14"/>
      <c r="N400" s="19"/>
    </row>
    <row r="401" spans="1:14" x14ac:dyDescent="0.25">
      <c r="A401" s="19"/>
      <c r="B401" s="38"/>
      <c r="C401" s="14"/>
      <c r="D401" s="19"/>
      <c r="E401" s="22"/>
      <c r="F401" s="22"/>
      <c r="G401" s="26"/>
      <c r="H401" s="26"/>
      <c r="I401" s="103"/>
      <c r="J401" s="27"/>
      <c r="K401" s="88"/>
      <c r="L401" s="19"/>
      <c r="M401" s="26"/>
      <c r="N401" s="19"/>
    </row>
    <row r="402" spans="1:14" x14ac:dyDescent="0.25">
      <c r="A402" s="22"/>
      <c r="B402" s="18"/>
      <c r="C402" s="14"/>
      <c r="D402" s="22"/>
      <c r="E402" s="22"/>
      <c r="F402" s="22"/>
      <c r="G402" s="27"/>
      <c r="H402" s="26"/>
      <c r="I402" s="103"/>
      <c r="J402" s="27"/>
      <c r="K402" s="88"/>
      <c r="L402" s="22"/>
      <c r="M402" s="14"/>
      <c r="N402" s="41"/>
    </row>
    <row r="403" spans="1:14" x14ac:dyDescent="0.25">
      <c r="A403" s="19"/>
      <c r="B403" s="18"/>
      <c r="C403" s="14"/>
      <c r="D403" s="19"/>
      <c r="E403" s="22"/>
      <c r="F403" s="22"/>
      <c r="G403" s="27"/>
      <c r="H403" s="26"/>
      <c r="I403" s="26"/>
      <c r="J403" s="27"/>
      <c r="K403" s="88"/>
      <c r="L403" s="19"/>
      <c r="M403" s="14"/>
      <c r="N403" s="19"/>
    </row>
    <row r="404" spans="1:14" x14ac:dyDescent="0.25">
      <c r="A404" s="19"/>
      <c r="B404" s="18"/>
      <c r="C404" s="14"/>
      <c r="D404" s="19"/>
      <c r="E404" s="22"/>
      <c r="F404" s="22"/>
      <c r="G404" s="27"/>
      <c r="H404" s="26"/>
      <c r="I404" s="26"/>
      <c r="J404" s="27"/>
      <c r="K404" s="88"/>
      <c r="L404" s="19"/>
      <c r="M404" s="14"/>
      <c r="N404" s="19"/>
    </row>
    <row r="405" spans="1:14" x14ac:dyDescent="0.25">
      <c r="A405" s="19"/>
      <c r="B405" s="18"/>
      <c r="C405" s="14"/>
      <c r="D405" s="19"/>
      <c r="E405" s="19"/>
      <c r="F405" s="20"/>
      <c r="G405" s="1"/>
      <c r="H405" s="1"/>
      <c r="I405" s="1"/>
      <c r="J405" s="17"/>
      <c r="K405" s="88"/>
      <c r="L405" s="19"/>
      <c r="M405" s="14"/>
      <c r="N405" s="19"/>
    </row>
    <row r="406" spans="1:14" x14ac:dyDescent="0.25">
      <c r="A406" s="19"/>
      <c r="B406" s="18"/>
      <c r="C406" s="14"/>
      <c r="D406" s="19"/>
      <c r="E406" s="19"/>
      <c r="F406" s="20"/>
      <c r="G406" s="17"/>
      <c r="H406" s="1"/>
      <c r="I406" s="1"/>
      <c r="J406" s="17"/>
      <c r="K406" s="88"/>
      <c r="L406" s="22"/>
      <c r="M406" s="14"/>
      <c r="N406" s="19"/>
    </row>
    <row r="407" spans="1:14" x14ac:dyDescent="0.25">
      <c r="A407" s="19"/>
      <c r="B407" s="18"/>
      <c r="C407" s="14"/>
      <c r="D407" s="19"/>
      <c r="E407" s="14"/>
      <c r="F407" s="14"/>
      <c r="G407" s="88"/>
      <c r="H407" s="18"/>
      <c r="I407" s="18"/>
      <c r="J407" s="88"/>
      <c r="K407" s="88"/>
      <c r="L407" s="14"/>
      <c r="M407" s="14"/>
      <c r="N407" s="19"/>
    </row>
    <row r="408" spans="1:14" x14ac:dyDescent="0.25">
      <c r="A408" s="19"/>
      <c r="B408" s="18"/>
      <c r="C408" s="14"/>
      <c r="D408" s="19"/>
      <c r="E408" s="19"/>
      <c r="F408" s="20"/>
      <c r="G408" s="17"/>
      <c r="H408" s="1"/>
      <c r="I408" s="1"/>
      <c r="J408" s="17"/>
      <c r="K408" s="88"/>
      <c r="L408" s="22"/>
      <c r="M408" s="14"/>
      <c r="N408" s="30"/>
    </row>
    <row r="409" spans="1:14" x14ac:dyDescent="0.25">
      <c r="A409" s="19"/>
      <c r="B409" s="18"/>
      <c r="C409" s="14"/>
      <c r="D409" s="19"/>
      <c r="E409" s="22"/>
      <c r="F409" s="36"/>
      <c r="G409" s="27"/>
      <c r="H409" s="26"/>
      <c r="I409" s="26"/>
      <c r="J409" s="27"/>
      <c r="K409" s="88"/>
      <c r="L409" s="19"/>
      <c r="M409" s="14"/>
      <c r="N409" s="41"/>
    </row>
    <row r="410" spans="1:14" x14ac:dyDescent="0.25">
      <c r="A410" s="19"/>
      <c r="B410" s="18"/>
      <c r="C410" s="14"/>
      <c r="D410" s="19"/>
      <c r="E410" s="22"/>
      <c r="F410" s="36"/>
      <c r="G410" s="27"/>
      <c r="H410" s="26"/>
      <c r="I410" s="26"/>
      <c r="J410" s="27"/>
      <c r="K410" s="88"/>
      <c r="L410" s="19"/>
      <c r="M410" s="14"/>
      <c r="N410" s="41"/>
    </row>
    <row r="411" spans="1:14" x14ac:dyDescent="0.25">
      <c r="A411" s="19"/>
      <c r="B411" s="18"/>
      <c r="C411" s="14"/>
      <c r="D411" s="19"/>
      <c r="E411" s="22"/>
      <c r="F411" s="36"/>
      <c r="G411" s="27"/>
      <c r="H411" s="26"/>
      <c r="I411" s="26"/>
      <c r="J411" s="27"/>
      <c r="K411" s="88"/>
      <c r="L411" s="19"/>
      <c r="M411" s="14"/>
      <c r="N411" s="19"/>
    </row>
    <row r="412" spans="1:14" x14ac:dyDescent="0.25">
      <c r="A412" s="19"/>
      <c r="B412" s="18"/>
      <c r="C412" s="14"/>
      <c r="D412" s="19"/>
      <c r="E412" s="22"/>
      <c r="F412" s="22"/>
      <c r="G412" s="27"/>
      <c r="H412" s="26"/>
      <c r="I412" s="26"/>
      <c r="J412" s="27"/>
      <c r="K412" s="88"/>
      <c r="L412" s="19"/>
      <c r="M412" s="14"/>
      <c r="N412" s="41"/>
    </row>
    <row r="413" spans="1:14" x14ac:dyDescent="0.25">
      <c r="A413" s="19"/>
      <c r="B413" s="18"/>
      <c r="C413" s="14"/>
      <c r="D413" s="19"/>
      <c r="E413" s="22"/>
      <c r="F413" s="36"/>
      <c r="G413" s="27"/>
      <c r="H413" s="26"/>
      <c r="I413" s="26"/>
      <c r="J413" s="27"/>
      <c r="K413" s="88"/>
      <c r="L413" s="19"/>
      <c r="M413" s="128"/>
      <c r="N413" s="22"/>
    </row>
    <row r="414" spans="1:14" x14ac:dyDescent="0.25">
      <c r="A414" s="38"/>
      <c r="B414" s="38"/>
      <c r="C414" s="14"/>
      <c r="D414" s="19"/>
      <c r="E414" s="22"/>
      <c r="F414" s="36"/>
      <c r="G414" s="27"/>
      <c r="H414" s="26"/>
      <c r="I414" s="26"/>
      <c r="J414" s="27"/>
      <c r="K414" s="88"/>
      <c r="L414" s="19"/>
      <c r="M414" s="14"/>
      <c r="N414" s="19"/>
    </row>
    <row r="415" spans="1:14" x14ac:dyDescent="0.25">
      <c r="A415" s="19"/>
      <c r="B415" s="38"/>
      <c r="C415" s="14"/>
      <c r="D415" s="19"/>
      <c r="E415" s="19"/>
      <c r="F415" s="20"/>
      <c r="G415" s="17"/>
      <c r="H415" s="1"/>
      <c r="I415" s="1"/>
      <c r="J415" s="17"/>
      <c r="K415" s="88"/>
      <c r="L415" s="19"/>
      <c r="M415" s="14"/>
      <c r="N415" s="19"/>
    </row>
    <row r="416" spans="1:14" x14ac:dyDescent="0.25">
      <c r="A416" s="19"/>
      <c r="B416" s="38"/>
      <c r="C416" s="14"/>
      <c r="D416" s="19"/>
      <c r="E416" s="22"/>
      <c r="F416" s="36"/>
      <c r="G416" s="27"/>
      <c r="H416" s="26"/>
      <c r="I416" s="26"/>
      <c r="J416" s="27"/>
      <c r="K416" s="88"/>
      <c r="L416" s="22"/>
      <c r="M416" s="14"/>
      <c r="N416" s="22"/>
    </row>
    <row r="417" spans="1:14" x14ac:dyDescent="0.25">
      <c r="A417" s="19"/>
      <c r="B417" s="1"/>
      <c r="C417" s="14"/>
      <c r="D417" s="19"/>
      <c r="E417" s="19"/>
      <c r="F417" s="36"/>
      <c r="G417" s="27"/>
      <c r="H417" s="26"/>
      <c r="I417" s="26"/>
      <c r="J417" s="27"/>
      <c r="K417" s="88"/>
      <c r="L417" s="19"/>
      <c r="M417" s="14"/>
      <c r="N417" s="19"/>
    </row>
    <row r="418" spans="1:14" x14ac:dyDescent="0.25">
      <c r="A418" s="38"/>
      <c r="B418" s="1"/>
      <c r="C418" s="14"/>
      <c r="D418" s="19"/>
      <c r="E418" s="19"/>
      <c r="F418" s="22"/>
      <c r="G418" s="27"/>
      <c r="H418" s="26"/>
      <c r="I418" s="26"/>
      <c r="J418" s="27"/>
      <c r="K418" s="88"/>
      <c r="L418" s="19"/>
      <c r="M418" s="34"/>
      <c r="N418" s="108"/>
    </row>
    <row r="419" spans="1:14" x14ac:dyDescent="0.25">
      <c r="A419" s="38"/>
      <c r="B419" s="38"/>
      <c r="C419" s="14"/>
      <c r="D419" s="19"/>
      <c r="E419" s="19"/>
      <c r="F419" s="20"/>
      <c r="G419" s="17"/>
      <c r="H419" s="1"/>
      <c r="I419" s="1"/>
      <c r="J419" s="17"/>
      <c r="K419" s="88"/>
      <c r="L419" s="19"/>
      <c r="M419" s="14"/>
      <c r="N419" s="19"/>
    </row>
    <row r="420" spans="1:14" x14ac:dyDescent="0.25">
      <c r="A420" s="38"/>
      <c r="B420" s="1"/>
      <c r="C420" s="14"/>
      <c r="D420" s="19"/>
      <c r="E420" s="19"/>
      <c r="F420" s="20"/>
      <c r="G420" s="17"/>
      <c r="H420" s="1"/>
      <c r="I420" s="1"/>
      <c r="J420" s="17"/>
      <c r="K420" s="88"/>
      <c r="L420" s="19"/>
      <c r="M420" s="14"/>
      <c r="N420" s="19"/>
    </row>
    <row r="421" spans="1:14" x14ac:dyDescent="0.25">
      <c r="A421" s="18"/>
      <c r="B421" s="18"/>
      <c r="C421" s="14"/>
      <c r="D421" s="19"/>
      <c r="E421" s="19"/>
      <c r="F421" s="20"/>
      <c r="G421" s="1"/>
      <c r="H421" s="1"/>
      <c r="I421" s="1"/>
      <c r="J421" s="17"/>
      <c r="K421" s="88"/>
      <c r="L421" s="19"/>
      <c r="M421" s="14"/>
      <c r="N421" s="19"/>
    </row>
    <row r="422" spans="1:14" x14ac:dyDescent="0.25">
      <c r="A422" s="18"/>
      <c r="B422" s="1"/>
      <c r="C422" s="14"/>
      <c r="D422" s="19"/>
      <c r="E422" s="19"/>
      <c r="F422" s="20"/>
      <c r="G422" s="17"/>
      <c r="H422" s="1"/>
      <c r="I422" s="1"/>
      <c r="J422" s="17"/>
      <c r="K422" s="88"/>
      <c r="L422" s="19"/>
      <c r="M422" s="14"/>
      <c r="N422" s="19"/>
    </row>
    <row r="423" spans="1:14" x14ac:dyDescent="0.25">
      <c r="A423" s="19"/>
      <c r="B423" s="1"/>
      <c r="C423" s="14"/>
      <c r="D423" s="19"/>
      <c r="E423" s="19"/>
      <c r="F423" s="20"/>
      <c r="G423" s="17"/>
      <c r="H423" s="1"/>
      <c r="I423" s="1"/>
      <c r="J423" s="17"/>
      <c r="K423" s="88"/>
      <c r="L423" s="22"/>
      <c r="M423" s="14"/>
      <c r="N423" s="19"/>
    </row>
    <row r="424" spans="1:14" x14ac:dyDescent="0.25">
      <c r="A424" s="38"/>
      <c r="B424" s="38"/>
      <c r="C424" s="14"/>
      <c r="D424" s="19"/>
      <c r="E424" s="19"/>
      <c r="F424" s="20"/>
      <c r="G424" s="17"/>
      <c r="H424" s="1"/>
      <c r="I424" s="1"/>
      <c r="J424" s="17"/>
      <c r="K424" s="88"/>
      <c r="L424" s="19"/>
      <c r="M424" s="14"/>
      <c r="N424" s="19"/>
    </row>
    <row r="425" spans="1:14" x14ac:dyDescent="0.25">
      <c r="A425" s="38"/>
      <c r="B425" s="38"/>
      <c r="C425" s="14"/>
      <c r="D425" s="22"/>
      <c r="E425" s="19"/>
      <c r="F425" s="20"/>
      <c r="G425" s="17"/>
      <c r="H425" s="1"/>
      <c r="I425" s="1"/>
      <c r="J425" s="17"/>
      <c r="K425" s="88"/>
      <c r="L425" s="19"/>
      <c r="M425" s="14"/>
      <c r="N425" s="22"/>
    </row>
    <row r="426" spans="1:14" x14ac:dyDescent="0.25">
      <c r="A426" s="18"/>
      <c r="B426" s="18"/>
      <c r="C426" s="14"/>
      <c r="D426" s="22"/>
      <c r="E426" s="19"/>
      <c r="F426" s="20"/>
      <c r="G426" s="17"/>
      <c r="H426" s="1"/>
      <c r="I426" s="1"/>
      <c r="J426" s="17"/>
      <c r="K426" s="88"/>
      <c r="L426" s="22"/>
      <c r="M426" s="14"/>
      <c r="N426" s="22"/>
    </row>
    <row r="427" spans="1:14" x14ac:dyDescent="0.25">
      <c r="A427" s="19"/>
      <c r="B427" s="38"/>
      <c r="C427" s="14"/>
      <c r="D427" s="19"/>
      <c r="E427" s="19"/>
      <c r="F427" s="20"/>
      <c r="G427" s="1"/>
      <c r="H427" s="1"/>
      <c r="I427" s="1"/>
      <c r="J427" s="17"/>
      <c r="K427" s="88"/>
      <c r="L427" s="19"/>
      <c r="M427" s="18"/>
      <c r="N427" s="19"/>
    </row>
    <row r="428" spans="1:14" x14ac:dyDescent="0.25">
      <c r="A428" s="22"/>
      <c r="B428" s="38"/>
      <c r="C428" s="14"/>
      <c r="D428" s="22"/>
      <c r="E428" s="19"/>
      <c r="F428" s="20"/>
      <c r="G428" s="17"/>
      <c r="H428" s="1"/>
      <c r="I428" s="1"/>
      <c r="J428" s="17"/>
      <c r="K428" s="88"/>
      <c r="L428" s="22"/>
      <c r="M428" s="14"/>
      <c r="N428" s="22"/>
    </row>
    <row r="429" spans="1:14" x14ac:dyDescent="0.25">
      <c r="A429" s="19"/>
      <c r="B429" s="38"/>
      <c r="C429" s="14"/>
      <c r="D429" s="19"/>
      <c r="E429" s="19"/>
      <c r="F429" s="20"/>
      <c r="G429" s="17"/>
      <c r="H429" s="1"/>
      <c r="I429" s="1"/>
      <c r="J429" s="17"/>
      <c r="K429" s="88"/>
      <c r="L429" s="19"/>
      <c r="M429" s="14"/>
      <c r="N429" s="19"/>
    </row>
    <row r="430" spans="1:14" x14ac:dyDescent="0.25">
      <c r="A430" s="38"/>
      <c r="B430" s="38"/>
      <c r="C430" s="14"/>
      <c r="D430" s="19"/>
      <c r="E430" s="19"/>
      <c r="F430" s="20"/>
      <c r="G430" s="27"/>
      <c r="H430" s="1"/>
      <c r="I430" s="1"/>
      <c r="J430" s="17"/>
      <c r="K430" s="88"/>
      <c r="L430" s="19"/>
      <c r="M430" s="14"/>
      <c r="N430" s="19"/>
    </row>
    <row r="431" spans="1:14" x14ac:dyDescent="0.25">
      <c r="A431" s="38"/>
      <c r="B431" s="38"/>
      <c r="C431" s="14"/>
      <c r="D431" s="22"/>
      <c r="E431" s="26"/>
      <c r="F431" s="27"/>
      <c r="G431" s="27"/>
      <c r="H431" s="26"/>
      <c r="I431" s="26"/>
      <c r="J431" s="27"/>
      <c r="K431" s="88"/>
      <c r="L431" s="22"/>
      <c r="M431" s="129"/>
      <c r="N431" s="22"/>
    </row>
    <row r="432" spans="1:14" x14ac:dyDescent="0.25">
      <c r="A432" s="19"/>
      <c r="B432" s="18"/>
      <c r="C432" s="14"/>
      <c r="D432" s="19"/>
      <c r="E432" s="14"/>
      <c r="F432" s="19"/>
      <c r="G432" s="17"/>
      <c r="H432" s="1"/>
      <c r="I432" s="1"/>
      <c r="J432" s="17"/>
      <c r="K432" s="88"/>
      <c r="L432" s="22"/>
      <c r="M432" s="14"/>
      <c r="N432" s="19"/>
    </row>
    <row r="433" spans="1:14" x14ac:dyDescent="0.25">
      <c r="A433" s="19"/>
      <c r="B433" s="18"/>
      <c r="C433" s="14"/>
      <c r="D433" s="19"/>
      <c r="E433" s="22"/>
      <c r="F433" s="36"/>
      <c r="G433" s="27"/>
      <c r="H433" s="26"/>
      <c r="I433" s="26"/>
      <c r="J433" s="27"/>
      <c r="K433" s="88"/>
      <c r="L433" s="22"/>
      <c r="M433" s="50"/>
      <c r="N433" s="19"/>
    </row>
    <row r="434" spans="1:14" x14ac:dyDescent="0.25">
      <c r="A434" s="38"/>
      <c r="B434" s="38"/>
      <c r="C434" s="14"/>
      <c r="D434" s="19"/>
      <c r="E434" s="19"/>
      <c r="F434" s="36"/>
      <c r="G434" s="27"/>
      <c r="H434" s="26"/>
      <c r="I434" s="26"/>
      <c r="J434" s="27"/>
      <c r="K434" s="88"/>
      <c r="L434" s="19"/>
      <c r="M434" s="14"/>
      <c r="N434" s="19"/>
    </row>
    <row r="435" spans="1:14" x14ac:dyDescent="0.25">
      <c r="A435" s="38"/>
      <c r="B435" s="38"/>
      <c r="C435" s="14"/>
      <c r="D435" s="19"/>
      <c r="E435" s="22"/>
      <c r="F435" s="36"/>
      <c r="G435" s="27"/>
      <c r="H435" s="26"/>
      <c r="I435" s="26"/>
      <c r="J435" s="27"/>
      <c r="K435" s="88"/>
      <c r="L435" s="22"/>
      <c r="M435" s="14"/>
      <c r="N435" s="19"/>
    </row>
    <row r="436" spans="1:14" x14ac:dyDescent="0.25">
      <c r="A436" s="19"/>
      <c r="B436" s="1"/>
      <c r="C436" s="14"/>
      <c r="D436" s="19"/>
      <c r="E436" s="19"/>
      <c r="F436" s="20"/>
      <c r="G436" s="17"/>
      <c r="H436" s="1"/>
      <c r="I436" s="121"/>
      <c r="J436" s="17"/>
      <c r="K436" s="88"/>
      <c r="L436" s="19"/>
      <c r="M436" s="14"/>
      <c r="N436" s="19"/>
    </row>
    <row r="437" spans="1:14" x14ac:dyDescent="0.25">
      <c r="A437" s="19"/>
      <c r="B437" s="1"/>
      <c r="C437" s="14"/>
      <c r="D437" s="19"/>
      <c r="E437" s="22"/>
      <c r="F437" s="36"/>
      <c r="G437" s="27"/>
      <c r="H437" s="26"/>
      <c r="I437" s="26"/>
      <c r="J437" s="27"/>
      <c r="K437" s="88"/>
      <c r="L437" s="19"/>
      <c r="M437" s="14"/>
      <c r="N437" s="19"/>
    </row>
    <row r="438" spans="1:14" x14ac:dyDescent="0.25">
      <c r="A438" s="19"/>
      <c r="B438" s="1"/>
      <c r="C438" s="14"/>
      <c r="D438" s="19"/>
      <c r="E438" s="22"/>
      <c r="F438" s="20"/>
      <c r="G438" s="17"/>
      <c r="H438" s="1"/>
      <c r="I438" s="1"/>
      <c r="J438" s="27"/>
      <c r="K438" s="88"/>
      <c r="L438" s="19"/>
      <c r="M438" s="34"/>
      <c r="N438" s="19"/>
    </row>
    <row r="439" spans="1:14" x14ac:dyDescent="0.25">
      <c r="A439" s="18"/>
      <c r="B439" s="18"/>
      <c r="C439" s="14"/>
      <c r="D439" s="19"/>
      <c r="E439" s="26"/>
      <c r="F439" s="27"/>
      <c r="G439" s="27"/>
      <c r="H439" s="26"/>
      <c r="I439" s="26"/>
      <c r="J439" s="27"/>
      <c r="K439" s="88"/>
      <c r="L439" s="19"/>
      <c r="M439" s="14"/>
      <c r="N439" s="19"/>
    </row>
    <row r="440" spans="1:14" x14ac:dyDescent="0.25">
      <c r="A440" s="19"/>
      <c r="B440" s="1"/>
      <c r="C440" s="14"/>
      <c r="D440" s="19"/>
      <c r="E440" s="19"/>
      <c r="F440" s="20"/>
      <c r="G440" s="17"/>
      <c r="H440" s="1"/>
      <c r="I440" s="1"/>
      <c r="J440" s="17"/>
      <c r="K440" s="88"/>
      <c r="L440" s="22"/>
      <c r="M440" s="1"/>
      <c r="N440" s="108"/>
    </row>
    <row r="441" spans="1:14" x14ac:dyDescent="0.25">
      <c r="A441" s="38"/>
      <c r="B441" s="38"/>
      <c r="C441" s="14"/>
      <c r="D441" s="19"/>
      <c r="E441" s="19"/>
      <c r="F441" s="20"/>
      <c r="G441" s="17"/>
      <c r="H441" s="1"/>
      <c r="I441" s="1"/>
      <c r="J441" s="27"/>
      <c r="K441" s="88"/>
      <c r="L441" s="19"/>
      <c r="M441" s="14"/>
      <c r="N441" s="19"/>
    </row>
    <row r="442" spans="1:14" x14ac:dyDescent="0.25">
      <c r="A442" s="38"/>
      <c r="B442" s="38"/>
      <c r="C442" s="14"/>
      <c r="D442" s="19"/>
      <c r="E442" s="22"/>
      <c r="F442" s="36"/>
      <c r="G442" s="27"/>
      <c r="H442" s="26"/>
      <c r="I442" s="26"/>
      <c r="J442" s="27"/>
      <c r="K442" s="88"/>
      <c r="L442" s="19"/>
      <c r="M442" s="34"/>
      <c r="N442" s="108"/>
    </row>
    <row r="443" spans="1:14" x14ac:dyDescent="0.25">
      <c r="A443" s="18"/>
      <c r="B443" s="18"/>
      <c r="C443" s="14"/>
      <c r="D443" s="22"/>
      <c r="E443" s="22"/>
      <c r="F443" s="36"/>
      <c r="G443" s="27"/>
      <c r="H443" s="26"/>
      <c r="I443" s="26"/>
      <c r="J443" s="27"/>
      <c r="K443" s="88"/>
      <c r="L443" s="22"/>
      <c r="M443" s="34"/>
      <c r="N443" s="22"/>
    </row>
    <row r="444" spans="1:14" x14ac:dyDescent="0.25">
      <c r="A444" s="38"/>
      <c r="B444" s="38"/>
      <c r="C444" s="14"/>
      <c r="D444" s="19"/>
      <c r="E444" s="22"/>
      <c r="F444" s="36"/>
      <c r="G444" s="26"/>
      <c r="H444" s="26"/>
      <c r="I444" s="26"/>
      <c r="J444" s="27"/>
      <c r="K444" s="88"/>
      <c r="L444" s="19"/>
      <c r="M444" s="34"/>
      <c r="N444" s="19"/>
    </row>
    <row r="445" spans="1:14" x14ac:dyDescent="0.25">
      <c r="A445" s="38"/>
      <c r="B445" s="38"/>
      <c r="C445" s="14"/>
      <c r="D445" s="19"/>
      <c r="E445" s="22"/>
      <c r="F445" s="36"/>
      <c r="G445" s="26"/>
      <c r="H445" s="26"/>
      <c r="I445" s="26"/>
      <c r="J445" s="27"/>
      <c r="K445" s="88"/>
      <c r="L445" s="22"/>
      <c r="M445" s="14"/>
      <c r="N445" s="22"/>
    </row>
    <row r="446" spans="1:14" x14ac:dyDescent="0.25">
      <c r="A446" s="38"/>
      <c r="B446" s="1"/>
      <c r="C446" s="14"/>
      <c r="D446" s="19"/>
      <c r="E446" s="19"/>
      <c r="F446" s="20"/>
      <c r="G446" s="17"/>
      <c r="H446" s="1"/>
      <c r="I446" s="1"/>
      <c r="J446" s="17"/>
      <c r="K446" s="88"/>
      <c r="L446" s="19"/>
      <c r="M446" s="42"/>
      <c r="N446" s="19"/>
    </row>
    <row r="447" spans="1:14" x14ac:dyDescent="0.25">
      <c r="A447" s="18"/>
      <c r="B447" s="1"/>
      <c r="C447" s="14"/>
      <c r="D447" s="19"/>
      <c r="E447" s="22"/>
      <c r="F447" s="36"/>
      <c r="G447" s="26"/>
      <c r="H447" s="26"/>
      <c r="I447" s="26"/>
      <c r="J447" s="27"/>
      <c r="K447" s="88"/>
      <c r="L447" s="19"/>
      <c r="M447" s="14"/>
      <c r="N447" s="19"/>
    </row>
    <row r="448" spans="1:14" x14ac:dyDescent="0.25">
      <c r="A448" s="18"/>
      <c r="B448" s="18"/>
      <c r="C448" s="14"/>
      <c r="D448" s="22"/>
      <c r="E448" s="22"/>
      <c r="F448" s="20"/>
      <c r="G448" s="17"/>
      <c r="H448" s="1"/>
      <c r="I448" s="121"/>
      <c r="J448" s="27"/>
      <c r="K448" s="88"/>
      <c r="L448" s="22"/>
      <c r="M448" s="18"/>
      <c r="N448" s="22"/>
    </row>
    <row r="449" spans="1:14" x14ac:dyDescent="0.25">
      <c r="A449" s="18"/>
      <c r="B449" s="18"/>
      <c r="C449" s="14"/>
      <c r="D449" s="22"/>
      <c r="E449" s="22"/>
      <c r="F449" s="20"/>
      <c r="G449" s="17"/>
      <c r="H449" s="1"/>
      <c r="I449" s="121"/>
      <c r="J449" s="27"/>
      <c r="K449" s="88"/>
      <c r="L449" s="22"/>
      <c r="M449" s="34"/>
      <c r="N449" s="22"/>
    </row>
    <row r="450" spans="1:14" x14ac:dyDescent="0.25">
      <c r="A450" s="18"/>
      <c r="B450" s="18"/>
      <c r="C450" s="14"/>
      <c r="D450" s="22"/>
      <c r="E450" s="22"/>
      <c r="F450" s="36"/>
      <c r="G450" s="27"/>
      <c r="H450" s="26"/>
      <c r="I450" s="26"/>
      <c r="J450" s="27"/>
      <c r="K450" s="88"/>
      <c r="L450" s="22"/>
      <c r="M450" s="34"/>
      <c r="N450" s="22"/>
    </row>
    <row r="451" spans="1:14" x14ac:dyDescent="0.25">
      <c r="A451" s="18"/>
      <c r="B451" s="18"/>
      <c r="C451" s="14"/>
      <c r="D451" s="22"/>
      <c r="E451" s="22"/>
      <c r="F451" s="36"/>
      <c r="G451" s="27"/>
      <c r="H451" s="26"/>
      <c r="I451" s="26"/>
      <c r="J451" s="27"/>
      <c r="K451" s="88"/>
      <c r="L451" s="22"/>
      <c r="M451" s="128"/>
      <c r="N451" s="22"/>
    </row>
    <row r="452" spans="1:14" x14ac:dyDescent="0.25">
      <c r="A452" s="18"/>
      <c r="B452" s="18"/>
      <c r="C452" s="14"/>
      <c r="D452" s="22"/>
      <c r="E452" s="22"/>
      <c r="F452" s="36"/>
      <c r="G452" s="27"/>
      <c r="H452" s="26"/>
      <c r="I452" s="26"/>
      <c r="J452" s="27"/>
      <c r="K452" s="88"/>
      <c r="L452" s="52"/>
      <c r="M452" s="14"/>
      <c r="N452" s="49"/>
    </row>
    <row r="453" spans="1:14" x14ac:dyDescent="0.25">
      <c r="A453" s="18"/>
      <c r="B453" s="18"/>
      <c r="C453" s="14"/>
      <c r="D453" s="22"/>
      <c r="E453" s="22"/>
      <c r="F453" s="36"/>
      <c r="G453" s="26"/>
      <c r="H453" s="26"/>
      <c r="I453" s="26"/>
      <c r="J453" s="27"/>
      <c r="K453" s="88"/>
      <c r="L453" s="22"/>
      <c r="M453" s="48"/>
      <c r="N453" s="44"/>
    </row>
    <row r="454" spans="1:14" x14ac:dyDescent="0.25">
      <c r="A454" s="18"/>
      <c r="B454" s="18"/>
      <c r="C454" s="14"/>
      <c r="D454" s="14"/>
      <c r="E454" s="14"/>
      <c r="F454" s="14"/>
      <c r="G454" s="88"/>
      <c r="H454" s="18"/>
      <c r="I454" s="120"/>
      <c r="J454" s="18"/>
      <c r="K454" s="88"/>
      <c r="L454" s="14"/>
      <c r="M454" s="50"/>
      <c r="N454" s="22"/>
    </row>
    <row r="455" spans="1:14" x14ac:dyDescent="0.25">
      <c r="A455" s="19"/>
      <c r="B455" s="1"/>
      <c r="C455" s="14"/>
      <c r="D455" s="37"/>
      <c r="E455" s="14"/>
      <c r="F455" s="14"/>
      <c r="G455" s="88"/>
      <c r="H455" s="18"/>
      <c r="I455" s="18"/>
      <c r="J455" s="126"/>
      <c r="K455" s="88"/>
      <c r="L455" s="14"/>
      <c r="M455" s="14"/>
      <c r="N455" s="31"/>
    </row>
    <row r="456" spans="1:14" x14ac:dyDescent="0.25">
      <c r="A456" s="22"/>
      <c r="B456" s="26"/>
      <c r="C456" s="14"/>
      <c r="D456" s="14"/>
      <c r="E456" s="14"/>
      <c r="F456" s="19"/>
      <c r="G456" s="17"/>
      <c r="H456" s="1"/>
      <c r="I456" s="1"/>
      <c r="J456" s="17"/>
      <c r="K456" s="88"/>
      <c r="L456" s="22"/>
      <c r="M456" s="26"/>
      <c r="N456" s="22"/>
    </row>
    <row r="457" spans="1:14" x14ac:dyDescent="0.25">
      <c r="A457" s="22"/>
      <c r="B457" s="26"/>
      <c r="C457" s="14"/>
      <c r="D457" s="14"/>
      <c r="E457" s="14"/>
      <c r="F457" s="19"/>
      <c r="G457" s="17"/>
      <c r="H457" s="1"/>
      <c r="I457" s="1"/>
      <c r="J457" s="27"/>
      <c r="K457" s="88"/>
      <c r="L457" s="22"/>
      <c r="M457" s="1"/>
      <c r="N457" s="41"/>
    </row>
    <row r="458" spans="1:14" x14ac:dyDescent="0.25">
      <c r="A458" s="22"/>
      <c r="B458" s="26"/>
      <c r="C458" s="14"/>
      <c r="D458" s="14"/>
      <c r="E458" s="14"/>
      <c r="F458" s="22"/>
      <c r="G458" s="27"/>
      <c r="H458" s="26"/>
      <c r="I458" s="26"/>
      <c r="J458" s="27"/>
      <c r="K458" s="88"/>
      <c r="L458" s="22"/>
      <c r="M458" s="26"/>
      <c r="N458" s="41"/>
    </row>
    <row r="459" spans="1:14" x14ac:dyDescent="0.25">
      <c r="A459" s="18"/>
      <c r="B459" s="18"/>
      <c r="C459" s="14"/>
      <c r="D459" s="14"/>
      <c r="E459" s="14"/>
      <c r="F459" s="22"/>
      <c r="G459" s="27"/>
      <c r="H459" s="26"/>
      <c r="I459" s="26"/>
      <c r="J459" s="27"/>
      <c r="K459" s="88"/>
      <c r="L459" s="22"/>
      <c r="M459" s="26"/>
      <c r="N459" s="41"/>
    </row>
    <row r="460" spans="1:14" x14ac:dyDescent="0.25">
      <c r="A460" s="22"/>
      <c r="B460" s="26"/>
      <c r="C460" s="14"/>
      <c r="D460" s="14"/>
      <c r="E460" s="14"/>
      <c r="F460" s="22"/>
      <c r="G460" s="27"/>
      <c r="H460" s="26"/>
      <c r="I460" s="26"/>
      <c r="J460" s="27"/>
      <c r="K460" s="88"/>
      <c r="L460" s="22"/>
      <c r="M460" s="26"/>
      <c r="N460" s="41"/>
    </row>
    <row r="461" spans="1:14" x14ac:dyDescent="0.25">
      <c r="A461" s="18"/>
      <c r="B461" s="18"/>
      <c r="C461" s="14"/>
      <c r="D461" s="14"/>
      <c r="E461" s="14"/>
      <c r="F461" s="22"/>
      <c r="G461" s="27"/>
      <c r="H461" s="26"/>
      <c r="I461" s="26"/>
      <c r="J461" s="27"/>
      <c r="K461" s="88"/>
      <c r="L461" s="22"/>
      <c r="M461" s="14"/>
      <c r="N461" s="41"/>
    </row>
    <row r="462" spans="1:14" x14ac:dyDescent="0.25">
      <c r="A462" s="18"/>
      <c r="B462" s="18"/>
      <c r="C462" s="14"/>
      <c r="D462" s="14"/>
      <c r="E462" s="14"/>
      <c r="F462" s="22"/>
      <c r="G462" s="27"/>
      <c r="H462" s="26"/>
      <c r="I462" s="26"/>
      <c r="J462" s="27"/>
      <c r="K462" s="88"/>
      <c r="L462" s="22"/>
      <c r="M462" s="26"/>
      <c r="N462" s="41"/>
    </row>
    <row r="463" spans="1:14" x14ac:dyDescent="0.25">
      <c r="A463" s="18"/>
      <c r="B463" s="18"/>
      <c r="C463" s="14"/>
      <c r="D463" s="22"/>
      <c r="E463" s="22"/>
      <c r="F463" s="36"/>
      <c r="G463" s="27"/>
      <c r="H463" s="26"/>
      <c r="I463" s="26"/>
      <c r="J463" s="27"/>
      <c r="K463" s="88"/>
      <c r="L463" s="22"/>
      <c r="M463" s="14"/>
      <c r="N463" s="19"/>
    </row>
    <row r="464" spans="1:14" x14ac:dyDescent="0.25">
      <c r="A464" s="22"/>
      <c r="B464" s="26"/>
      <c r="C464" s="14"/>
      <c r="D464" s="14"/>
      <c r="E464" s="14"/>
      <c r="F464" s="22"/>
      <c r="G464" s="27"/>
      <c r="H464" s="26"/>
      <c r="I464" s="103"/>
      <c r="J464" s="27"/>
      <c r="K464" s="88"/>
      <c r="L464" s="22"/>
      <c r="M464" s="14"/>
      <c r="N464" s="41"/>
    </row>
    <row r="465" spans="1:14" x14ac:dyDescent="0.25">
      <c r="A465" s="22"/>
      <c r="B465" s="26"/>
      <c r="C465" s="14"/>
      <c r="D465" s="14"/>
      <c r="E465" s="4"/>
      <c r="F465" s="7"/>
      <c r="G465" s="88"/>
      <c r="H465" s="18"/>
      <c r="I465" s="18"/>
      <c r="J465" s="88"/>
      <c r="K465" s="88"/>
      <c r="L465" s="8"/>
      <c r="M465" s="14"/>
      <c r="N465" s="41"/>
    </row>
    <row r="466" spans="1:14" x14ac:dyDescent="0.25">
      <c r="A466" s="22"/>
      <c r="B466" s="26"/>
      <c r="C466" s="14"/>
      <c r="D466" s="14"/>
      <c r="E466" s="4"/>
      <c r="F466" s="7"/>
      <c r="G466" s="88"/>
      <c r="H466" s="18"/>
      <c r="I466" s="18"/>
      <c r="J466" s="88"/>
      <c r="K466" s="88"/>
      <c r="L466" s="8"/>
      <c r="M466" s="43"/>
      <c r="N466" s="41"/>
    </row>
    <row r="467" spans="1:14" x14ac:dyDescent="0.25">
      <c r="A467" s="22"/>
      <c r="B467" s="26"/>
      <c r="C467" s="14"/>
      <c r="D467" s="14"/>
      <c r="E467" s="14"/>
      <c r="F467" s="7"/>
      <c r="G467" s="88"/>
      <c r="H467" s="18"/>
      <c r="I467" s="18"/>
      <c r="J467" s="88"/>
      <c r="K467" s="88"/>
      <c r="L467" s="8"/>
      <c r="M467" s="14"/>
      <c r="N467" s="41"/>
    </row>
    <row r="468" spans="1:14" x14ac:dyDescent="0.25">
      <c r="A468" s="22"/>
      <c r="B468" s="26"/>
      <c r="C468" s="14"/>
      <c r="D468" s="14"/>
      <c r="E468" s="19"/>
      <c r="F468" s="7"/>
      <c r="G468" s="17"/>
      <c r="H468" s="1"/>
      <c r="I468" s="1"/>
      <c r="J468" s="17"/>
      <c r="K468" s="88"/>
      <c r="L468" s="22"/>
      <c r="M468" s="14"/>
      <c r="N468" s="109"/>
    </row>
    <row r="469" spans="1:14" x14ac:dyDescent="0.25">
      <c r="A469" s="18"/>
      <c r="B469" s="18"/>
      <c r="C469" s="14"/>
      <c r="D469" s="14"/>
      <c r="E469" s="22"/>
      <c r="F469" s="36"/>
      <c r="G469" s="26"/>
      <c r="H469" s="26"/>
      <c r="I469" s="26"/>
      <c r="J469" s="27"/>
      <c r="K469" s="88"/>
      <c r="L469" s="19"/>
      <c r="M469" s="34"/>
      <c r="N469" s="19"/>
    </row>
    <row r="470" spans="1:14" x14ac:dyDescent="0.25">
      <c r="A470" s="18"/>
      <c r="B470" s="18"/>
      <c r="C470" s="14"/>
      <c r="D470" s="14"/>
      <c r="E470" s="14"/>
      <c r="F470" s="7"/>
      <c r="G470" s="17"/>
      <c r="H470" s="1"/>
      <c r="I470" s="1"/>
      <c r="J470" s="17"/>
      <c r="K470" s="88"/>
      <c r="L470" s="22"/>
      <c r="M470" s="14"/>
      <c r="N470" s="41"/>
    </row>
    <row r="471" spans="1:14" x14ac:dyDescent="0.25">
      <c r="A471" s="22"/>
      <c r="B471" s="26"/>
      <c r="C471" s="14"/>
      <c r="D471" s="14"/>
      <c r="E471" s="14"/>
      <c r="F471" s="22"/>
      <c r="G471" s="27"/>
      <c r="H471" s="26"/>
      <c r="I471" s="26"/>
      <c r="J471" s="27"/>
      <c r="K471" s="88"/>
      <c r="L471" s="22"/>
      <c r="M471" s="50"/>
      <c r="N471" s="22"/>
    </row>
    <row r="472" spans="1:14" x14ac:dyDescent="0.25">
      <c r="A472" s="22"/>
      <c r="B472" s="26"/>
      <c r="C472" s="14"/>
      <c r="D472" s="14"/>
      <c r="E472" s="14"/>
      <c r="F472" s="22"/>
      <c r="G472" s="27"/>
      <c r="H472" s="26"/>
      <c r="I472" s="26"/>
      <c r="J472" s="27"/>
      <c r="K472" s="88"/>
      <c r="L472" s="22"/>
      <c r="M472" s="14"/>
      <c r="N472" s="22"/>
    </row>
    <row r="473" spans="1:14" x14ac:dyDescent="0.25">
      <c r="A473" s="18"/>
      <c r="B473" s="18"/>
      <c r="C473" s="14"/>
      <c r="D473" s="14"/>
      <c r="E473" s="14"/>
      <c r="F473" s="18"/>
      <c r="G473" s="18"/>
      <c r="H473" s="18"/>
      <c r="I473" s="18"/>
      <c r="J473" s="88"/>
      <c r="K473" s="88"/>
      <c r="L473" s="14"/>
      <c r="M473" s="14"/>
      <c r="N473" s="14"/>
    </row>
    <row r="474" spans="1:14" x14ac:dyDescent="0.25">
      <c r="A474" s="18"/>
      <c r="B474" s="18"/>
      <c r="C474" s="14"/>
      <c r="D474" s="14"/>
      <c r="E474" s="14"/>
      <c r="F474" s="14"/>
      <c r="G474" s="88"/>
      <c r="H474" s="18"/>
      <c r="I474" s="18"/>
      <c r="J474" s="88"/>
      <c r="K474" s="88"/>
      <c r="L474" s="14"/>
      <c r="M474" s="14"/>
      <c r="N474" s="18"/>
    </row>
    <row r="475" spans="1:14" x14ac:dyDescent="0.25">
      <c r="A475" s="22"/>
      <c r="B475" s="26"/>
      <c r="C475" s="14"/>
      <c r="D475" s="14"/>
      <c r="E475" s="14"/>
      <c r="F475" s="14"/>
      <c r="G475" s="88"/>
      <c r="H475" s="18"/>
      <c r="I475" s="120"/>
      <c r="J475" s="88"/>
      <c r="K475" s="88"/>
      <c r="L475" s="14"/>
      <c r="M475" s="14"/>
      <c r="N475" s="107"/>
    </row>
    <row r="476" spans="1:14" x14ac:dyDescent="0.25">
      <c r="A476" s="18"/>
      <c r="B476" s="18"/>
      <c r="C476" s="14"/>
      <c r="D476" s="14"/>
      <c r="E476" s="14"/>
      <c r="F476" s="14"/>
      <c r="G476" s="88"/>
      <c r="H476" s="18"/>
      <c r="I476" s="18"/>
      <c r="J476" s="88"/>
      <c r="K476" s="88"/>
      <c r="L476" s="14"/>
      <c r="M476" s="14"/>
      <c r="N476" s="18"/>
    </row>
    <row r="477" spans="1:14" x14ac:dyDescent="0.25">
      <c r="A477" s="19"/>
      <c r="B477" s="1"/>
      <c r="C477" s="14"/>
      <c r="D477" s="14"/>
      <c r="E477" s="14"/>
      <c r="F477" s="14"/>
      <c r="G477" s="18"/>
      <c r="H477" s="18"/>
      <c r="I477" s="120"/>
      <c r="J477" s="88"/>
      <c r="K477" s="88"/>
      <c r="L477" s="14"/>
      <c r="M477" s="26"/>
      <c r="N477" s="19"/>
    </row>
    <row r="478" spans="1:14" x14ac:dyDescent="0.25">
      <c r="A478" s="18"/>
      <c r="B478" s="18"/>
      <c r="C478" s="14"/>
      <c r="D478" s="14"/>
      <c r="E478" s="14"/>
      <c r="F478" s="14"/>
      <c r="G478" s="88"/>
      <c r="H478" s="18"/>
      <c r="I478" s="120"/>
      <c r="J478" s="18"/>
      <c r="K478" s="88"/>
      <c r="L478" s="14"/>
      <c r="M478" s="50"/>
      <c r="N478" s="22"/>
    </row>
    <row r="479" spans="1:14" x14ac:dyDescent="0.25">
      <c r="A479" s="18"/>
      <c r="B479" s="18"/>
      <c r="C479" s="14"/>
      <c r="D479" s="22"/>
      <c r="E479" s="22"/>
      <c r="F479" s="22"/>
      <c r="G479" s="26"/>
      <c r="H479" s="26"/>
      <c r="I479" s="26"/>
      <c r="J479" s="88"/>
      <c r="K479" s="88"/>
      <c r="L479" s="22"/>
      <c r="M479" s="26"/>
      <c r="N479" s="22"/>
    </row>
    <row r="480" spans="1:14" x14ac:dyDescent="0.25">
      <c r="A480" s="18"/>
      <c r="B480" s="18"/>
      <c r="C480" s="14"/>
      <c r="D480" s="22"/>
      <c r="E480" s="19"/>
      <c r="F480" s="14"/>
      <c r="G480" s="26"/>
      <c r="H480" s="1"/>
      <c r="I480" s="1"/>
      <c r="J480" s="17"/>
      <c r="K480" s="88"/>
      <c r="L480" s="22"/>
      <c r="M480" s="14"/>
      <c r="N480" s="22"/>
    </row>
    <row r="481" spans="1:14" x14ac:dyDescent="0.25">
      <c r="A481" s="18"/>
      <c r="B481" s="18"/>
      <c r="C481" s="14"/>
      <c r="D481" s="22"/>
      <c r="E481" s="19"/>
      <c r="F481" s="14"/>
      <c r="G481" s="26"/>
      <c r="H481" s="1"/>
      <c r="I481" s="1"/>
      <c r="J481" s="17"/>
      <c r="K481" s="88"/>
      <c r="L481" s="22"/>
      <c r="M481" s="14"/>
      <c r="N481" s="41"/>
    </row>
    <row r="482" spans="1:14" x14ac:dyDescent="0.25">
      <c r="A482" s="18"/>
      <c r="B482" s="18"/>
      <c r="C482" s="14"/>
      <c r="D482" s="22"/>
      <c r="E482" s="19"/>
      <c r="F482" s="14"/>
      <c r="G482" s="26"/>
      <c r="H482" s="1"/>
      <c r="I482" s="1"/>
      <c r="J482" s="17"/>
      <c r="K482" s="88"/>
      <c r="L482" s="22"/>
      <c r="M482" s="14"/>
      <c r="N482" s="22"/>
    </row>
    <row r="483" spans="1:14" x14ac:dyDescent="0.25">
      <c r="A483" s="18"/>
      <c r="B483" s="18"/>
      <c r="C483" s="14"/>
      <c r="D483" s="22"/>
      <c r="E483" s="19"/>
      <c r="F483" s="14"/>
      <c r="G483" s="26"/>
      <c r="H483" s="1"/>
      <c r="I483" s="1"/>
      <c r="J483" s="17"/>
      <c r="K483" s="88"/>
      <c r="L483" s="22"/>
      <c r="M483" s="14"/>
      <c r="N483" s="22"/>
    </row>
    <row r="484" spans="1:14" x14ac:dyDescent="0.25">
      <c r="A484" s="18"/>
      <c r="B484" s="18"/>
      <c r="C484" s="14"/>
      <c r="D484" s="22"/>
      <c r="E484" s="19"/>
      <c r="F484" s="14"/>
      <c r="G484" s="26"/>
      <c r="H484" s="1"/>
      <c r="I484" s="1"/>
      <c r="J484" s="17"/>
      <c r="K484" s="88"/>
      <c r="L484" s="22"/>
      <c r="M484" s="14"/>
      <c r="N484" s="22"/>
    </row>
    <row r="485" spans="1:14" x14ac:dyDescent="0.25">
      <c r="A485" s="18"/>
      <c r="B485" s="18"/>
      <c r="C485" s="14"/>
      <c r="D485" s="22"/>
      <c r="E485" s="22"/>
      <c r="F485" s="22"/>
      <c r="G485" s="27"/>
      <c r="H485" s="26"/>
      <c r="I485" s="26"/>
      <c r="J485" s="27"/>
      <c r="K485" s="88"/>
      <c r="L485" s="22"/>
      <c r="M485" s="14"/>
      <c r="N485" s="22"/>
    </row>
    <row r="486" spans="1:14" x14ac:dyDescent="0.25">
      <c r="A486" s="18"/>
      <c r="B486" s="18"/>
      <c r="C486" s="14"/>
      <c r="D486" s="22"/>
      <c r="E486" s="19"/>
      <c r="F486" s="19"/>
      <c r="G486" s="17"/>
      <c r="H486" s="1"/>
      <c r="I486" s="1"/>
      <c r="J486" s="17"/>
      <c r="K486" s="88"/>
      <c r="L486" s="22"/>
      <c r="M486" s="14"/>
      <c r="N486" s="22"/>
    </row>
    <row r="487" spans="1:14" x14ac:dyDescent="0.25">
      <c r="A487" s="18"/>
      <c r="B487" s="18"/>
      <c r="C487" s="14"/>
      <c r="D487" s="22"/>
      <c r="E487" s="40"/>
      <c r="F487" s="14"/>
      <c r="G487" s="17"/>
      <c r="H487" s="1"/>
      <c r="I487" s="1"/>
      <c r="J487" s="17"/>
      <c r="K487" s="88"/>
      <c r="L487" s="22"/>
      <c r="M487" s="14"/>
      <c r="N487" s="41"/>
    </row>
    <row r="488" spans="1:14" x14ac:dyDescent="0.25">
      <c r="A488" s="18"/>
      <c r="B488" s="18"/>
      <c r="C488" s="14"/>
      <c r="D488" s="22"/>
      <c r="E488" s="19"/>
      <c r="F488" s="22"/>
      <c r="G488" s="27"/>
      <c r="H488" s="26"/>
      <c r="I488" s="26"/>
      <c r="J488" s="17"/>
      <c r="K488" s="88"/>
      <c r="L488" s="22"/>
      <c r="M488" s="14"/>
      <c r="N488" s="41"/>
    </row>
    <row r="489" spans="1:14" x14ac:dyDescent="0.25">
      <c r="A489" s="18"/>
      <c r="B489" s="18"/>
      <c r="C489" s="14"/>
      <c r="D489" s="22"/>
      <c r="E489" s="19"/>
      <c r="F489" s="22"/>
      <c r="G489" s="27"/>
      <c r="H489" s="26"/>
      <c r="I489" s="26"/>
      <c r="J489" s="17"/>
      <c r="K489" s="88"/>
      <c r="L489" s="22"/>
      <c r="M489" s="14"/>
      <c r="N489" s="22"/>
    </row>
    <row r="490" spans="1:14" x14ac:dyDescent="0.25">
      <c r="A490" s="18"/>
      <c r="B490" s="18"/>
      <c r="C490" s="14"/>
      <c r="D490" s="22"/>
      <c r="E490" s="19"/>
      <c r="F490" s="22"/>
      <c r="G490" s="17"/>
      <c r="H490" s="1"/>
      <c r="I490" s="1"/>
      <c r="J490" s="17"/>
      <c r="K490" s="88"/>
      <c r="L490" s="22"/>
      <c r="M490" s="14"/>
      <c r="N490" s="41"/>
    </row>
    <row r="491" spans="1:14" x14ac:dyDescent="0.25">
      <c r="A491" s="18"/>
      <c r="B491" s="18"/>
      <c r="C491" s="14"/>
      <c r="D491" s="22"/>
      <c r="E491" s="19"/>
      <c r="F491" s="22"/>
      <c r="G491" s="17"/>
      <c r="H491" s="1"/>
      <c r="I491" s="1"/>
      <c r="J491" s="17"/>
      <c r="K491" s="88"/>
      <c r="L491" s="22"/>
      <c r="M491" s="43"/>
      <c r="N491" s="109"/>
    </row>
    <row r="492" spans="1:14" x14ac:dyDescent="0.25">
      <c r="A492" s="18"/>
      <c r="B492" s="18"/>
      <c r="C492" s="14"/>
      <c r="D492" s="22"/>
      <c r="E492" s="19"/>
      <c r="F492" s="22"/>
      <c r="G492" s="17"/>
      <c r="H492" s="1"/>
      <c r="I492" s="1"/>
      <c r="J492" s="17"/>
      <c r="K492" s="88"/>
      <c r="L492" s="22"/>
      <c r="M492" s="14"/>
      <c r="N492" s="22"/>
    </row>
    <row r="493" spans="1:14" x14ac:dyDescent="0.25">
      <c r="A493" s="18"/>
      <c r="B493" s="18"/>
      <c r="C493" s="14"/>
      <c r="D493" s="22"/>
      <c r="E493" s="19"/>
      <c r="F493" s="22"/>
      <c r="G493" s="17"/>
      <c r="H493" s="1"/>
      <c r="I493" s="1"/>
      <c r="J493" s="17"/>
      <c r="K493" s="88"/>
      <c r="L493" s="22"/>
      <c r="M493" s="14"/>
      <c r="N493" s="109"/>
    </row>
    <row r="494" spans="1:14" x14ac:dyDescent="0.25">
      <c r="A494" s="18"/>
      <c r="B494" s="18"/>
      <c r="C494" s="14"/>
      <c r="D494" s="22"/>
      <c r="E494" s="19"/>
      <c r="F494" s="19"/>
      <c r="G494" s="17"/>
      <c r="H494" s="1"/>
      <c r="I494" s="1"/>
      <c r="J494" s="17"/>
      <c r="K494" s="88"/>
      <c r="L494" s="22"/>
      <c r="M494" s="26"/>
      <c r="N494" s="41"/>
    </row>
    <row r="495" spans="1:14" x14ac:dyDescent="0.25">
      <c r="A495" s="18"/>
      <c r="B495" s="18"/>
      <c r="C495" s="14"/>
      <c r="D495" s="22"/>
      <c r="E495" s="22"/>
      <c r="F495" s="22"/>
      <c r="G495" s="27"/>
      <c r="H495" s="26"/>
      <c r="I495" s="26"/>
      <c r="J495" s="27"/>
      <c r="K495" s="88"/>
      <c r="L495" s="22"/>
      <c r="M495" s="26"/>
      <c r="N495" s="41"/>
    </row>
    <row r="496" spans="1:14" x14ac:dyDescent="0.25">
      <c r="A496" s="18"/>
      <c r="B496" s="18"/>
      <c r="C496" s="14"/>
      <c r="D496" s="22"/>
      <c r="E496" s="22"/>
      <c r="F496" s="22"/>
      <c r="G496" s="27"/>
      <c r="H496" s="26"/>
      <c r="I496" s="26"/>
      <c r="J496" s="27"/>
      <c r="K496" s="88"/>
      <c r="L496" s="22"/>
      <c r="M496" s="14"/>
      <c r="N496" s="22"/>
    </row>
    <row r="497" spans="1:14" x14ac:dyDescent="0.25">
      <c r="A497" s="19"/>
      <c r="B497" s="1"/>
      <c r="C497" s="14"/>
      <c r="D497" s="22"/>
      <c r="E497" s="14"/>
      <c r="F497" s="14"/>
      <c r="G497" s="18"/>
      <c r="H497" s="18"/>
      <c r="I497" s="120"/>
      <c r="J497" s="88"/>
      <c r="K497" s="88"/>
      <c r="L497" s="14"/>
      <c r="M497" s="26"/>
      <c r="N497" s="19"/>
    </row>
    <row r="498" spans="1:14" x14ac:dyDescent="0.25">
      <c r="A498" s="18"/>
      <c r="B498" s="18"/>
      <c r="C498" s="14"/>
      <c r="D498" s="14"/>
      <c r="E498" s="14"/>
      <c r="F498" s="14"/>
      <c r="G498" s="88"/>
      <c r="H498" s="18"/>
      <c r="I498" s="120"/>
      <c r="J498" s="18"/>
      <c r="K498" s="88"/>
      <c r="L498" s="14"/>
      <c r="M498" s="50"/>
      <c r="N498" s="22"/>
    </row>
    <row r="499" spans="1:14" x14ac:dyDescent="0.25">
      <c r="A499" s="18"/>
      <c r="B499" s="18"/>
      <c r="C499" s="14"/>
      <c r="D499" s="22"/>
      <c r="E499" s="14"/>
      <c r="F499" s="18"/>
      <c r="G499" s="18"/>
      <c r="H499" s="18"/>
      <c r="I499" s="18"/>
      <c r="J499" s="88"/>
      <c r="K499" s="88"/>
      <c r="L499" s="14"/>
      <c r="M499" s="14"/>
      <c r="N499" s="14"/>
    </row>
    <row r="500" spans="1:14" x14ac:dyDescent="0.25">
      <c r="A500" s="18"/>
      <c r="B500" s="18"/>
      <c r="C500" s="14"/>
      <c r="D500" s="22"/>
      <c r="E500" s="14"/>
      <c r="F500" s="14"/>
      <c r="G500" s="88"/>
      <c r="H500" s="18"/>
      <c r="I500" s="18"/>
      <c r="J500" s="88"/>
      <c r="K500" s="88"/>
      <c r="L500" s="14"/>
      <c r="M500" s="50"/>
      <c r="N500" s="31"/>
    </row>
    <row r="501" spans="1:14" x14ac:dyDescent="0.25">
      <c r="A501" s="22"/>
      <c r="B501" s="26"/>
      <c r="C501" s="14"/>
      <c r="D501" s="22"/>
      <c r="E501" s="14"/>
      <c r="F501" s="14"/>
      <c r="G501" s="88"/>
      <c r="H501" s="18"/>
      <c r="I501" s="120"/>
      <c r="J501" s="88"/>
      <c r="K501" s="88"/>
      <c r="L501" s="14"/>
      <c r="M501" s="14"/>
      <c r="N501" s="107"/>
    </row>
    <row r="502" spans="1:14" x14ac:dyDescent="0.25">
      <c r="A502" s="18"/>
      <c r="B502" s="18"/>
      <c r="C502" s="14"/>
      <c r="D502" s="22"/>
      <c r="E502" s="14"/>
      <c r="F502" s="14"/>
      <c r="G502" s="88"/>
      <c r="H502" s="18"/>
      <c r="I502" s="18"/>
      <c r="J502" s="88"/>
      <c r="K502" s="88"/>
      <c r="L502" s="14"/>
      <c r="M502" s="14"/>
      <c r="N502" s="18"/>
    </row>
    <row r="503" spans="1:14" x14ac:dyDescent="0.25">
      <c r="A503" s="18"/>
      <c r="B503" s="18"/>
      <c r="C503" s="14"/>
      <c r="D503" s="22"/>
      <c r="E503" s="14"/>
      <c r="F503" s="22"/>
      <c r="G503" s="27"/>
      <c r="H503" s="26"/>
      <c r="I503" s="26"/>
      <c r="J503" s="88"/>
      <c r="K503" s="88"/>
      <c r="L503" s="14"/>
      <c r="M503" s="26"/>
      <c r="N503" s="18"/>
    </row>
    <row r="504" spans="1:14" x14ac:dyDescent="0.25">
      <c r="A504" s="18"/>
      <c r="B504" s="18"/>
      <c r="C504" s="14"/>
      <c r="D504" s="22"/>
      <c r="E504" s="14"/>
      <c r="F504" s="14"/>
      <c r="G504" s="27"/>
      <c r="H504" s="1"/>
      <c r="I504" s="1"/>
      <c r="J504" s="27"/>
      <c r="K504" s="88"/>
      <c r="L504" s="14"/>
      <c r="M504" s="14"/>
      <c r="N504" s="31"/>
    </row>
    <row r="505" spans="1:14" x14ac:dyDescent="0.25">
      <c r="A505" s="18"/>
      <c r="B505" s="18"/>
      <c r="C505" s="14"/>
      <c r="D505" s="22"/>
      <c r="E505" s="14"/>
      <c r="F505" s="14"/>
      <c r="G505" s="88"/>
      <c r="H505" s="18"/>
      <c r="I505" s="18"/>
      <c r="J505" s="88"/>
      <c r="K505" s="88"/>
      <c r="L505" s="14"/>
      <c r="M505" s="14"/>
      <c r="N505" s="18"/>
    </row>
    <row r="506" spans="1:14" x14ac:dyDescent="0.25">
      <c r="A506" s="18"/>
      <c r="B506" s="18"/>
      <c r="C506" s="14"/>
      <c r="D506" s="22"/>
      <c r="E506" s="14"/>
      <c r="F506" s="14"/>
      <c r="G506" s="27"/>
      <c r="H506" s="26"/>
      <c r="I506" s="26"/>
      <c r="J506" s="27"/>
      <c r="K506" s="88"/>
      <c r="L506" s="14"/>
      <c r="M506" s="14"/>
      <c r="N506" s="18"/>
    </row>
    <row r="507" spans="1:14" x14ac:dyDescent="0.25">
      <c r="A507" s="18"/>
      <c r="B507" s="18"/>
      <c r="C507" s="14"/>
      <c r="D507" s="22"/>
      <c r="E507" s="14"/>
      <c r="F507" s="14"/>
      <c r="G507" s="27"/>
      <c r="H507" s="26"/>
      <c r="I507" s="26"/>
      <c r="J507" s="27"/>
      <c r="K507" s="88"/>
      <c r="L507" s="14"/>
      <c r="M507" s="14"/>
      <c r="N507" s="31"/>
    </row>
    <row r="508" spans="1:14" x14ac:dyDescent="0.25">
      <c r="A508" s="18"/>
      <c r="B508" s="18"/>
      <c r="C508" s="14"/>
      <c r="D508" s="22"/>
      <c r="E508" s="22"/>
      <c r="F508" s="22"/>
      <c r="G508" s="27"/>
      <c r="H508" s="26"/>
      <c r="I508" s="26"/>
      <c r="J508" s="27"/>
      <c r="K508" s="88"/>
      <c r="L508" s="22"/>
      <c r="M508" s="14"/>
      <c r="N508" s="22"/>
    </row>
    <row r="509" spans="1:14" x14ac:dyDescent="0.25">
      <c r="A509" s="18"/>
      <c r="B509" s="18"/>
      <c r="C509" s="14"/>
      <c r="D509" s="22"/>
      <c r="E509" s="14"/>
      <c r="F509" s="14"/>
      <c r="G509" s="88"/>
      <c r="H509" s="18"/>
      <c r="I509" s="18"/>
      <c r="J509" s="27"/>
      <c r="K509" s="88"/>
      <c r="L509" s="14"/>
      <c r="M509" s="14"/>
      <c r="N509" s="31"/>
    </row>
    <row r="510" spans="1:14" x14ac:dyDescent="0.25">
      <c r="A510" s="18"/>
      <c r="B510" s="18"/>
      <c r="C510" s="14"/>
      <c r="D510" s="22"/>
      <c r="E510" s="14"/>
      <c r="F510" s="22"/>
      <c r="G510" s="27"/>
      <c r="H510" s="26"/>
      <c r="I510" s="26"/>
      <c r="J510" s="27"/>
      <c r="K510" s="88"/>
      <c r="L510" s="14"/>
      <c r="M510" s="26"/>
      <c r="N510" s="31"/>
    </row>
    <row r="511" spans="1:14" x14ac:dyDescent="0.25">
      <c r="A511" s="18"/>
      <c r="B511" s="18"/>
      <c r="C511" s="14"/>
      <c r="D511" s="22"/>
      <c r="E511" s="14"/>
      <c r="F511" s="19"/>
      <c r="G511" s="17"/>
      <c r="H511" s="1"/>
      <c r="I511" s="26"/>
      <c r="J511" s="27"/>
      <c r="K511" s="88"/>
      <c r="L511" s="14"/>
      <c r="M511" s="26"/>
      <c r="N511" s="18"/>
    </row>
    <row r="512" spans="1:14" x14ac:dyDescent="0.25">
      <c r="A512" s="18"/>
      <c r="B512" s="18"/>
      <c r="C512" s="14"/>
      <c r="D512" s="14"/>
      <c r="E512" s="14"/>
      <c r="F512" s="14"/>
      <c r="G512" s="88"/>
      <c r="H512" s="18"/>
      <c r="I512" s="120"/>
      <c r="J512" s="27"/>
      <c r="K512" s="88"/>
      <c r="L512" s="14"/>
      <c r="M512" s="26"/>
      <c r="N512" s="19"/>
    </row>
    <row r="513" spans="1:14" x14ac:dyDescent="0.25">
      <c r="A513" s="18"/>
      <c r="B513" s="18"/>
      <c r="C513" s="14"/>
      <c r="D513" s="14"/>
      <c r="E513" s="14"/>
      <c r="F513" s="14"/>
      <c r="G513" s="88"/>
      <c r="H513" s="18"/>
      <c r="I513" s="120"/>
      <c r="J513" s="27"/>
      <c r="K513" s="88"/>
      <c r="L513" s="14"/>
      <c r="M513" s="14"/>
      <c r="N513" s="19"/>
    </row>
    <row r="514" spans="1:14" x14ac:dyDescent="0.25">
      <c r="A514" s="18"/>
      <c r="B514" s="18"/>
      <c r="C514" s="14"/>
      <c r="D514" s="14"/>
      <c r="E514" s="14"/>
      <c r="F514" s="14"/>
      <c r="G514" s="88"/>
      <c r="H514" s="18"/>
      <c r="I514" s="120"/>
      <c r="J514" s="27"/>
      <c r="K514" s="88"/>
      <c r="L514" s="14"/>
      <c r="M514" s="14"/>
      <c r="N514" s="19"/>
    </row>
    <row r="515" spans="1:14" x14ac:dyDescent="0.25">
      <c r="A515" s="18"/>
      <c r="B515" s="18"/>
      <c r="C515" s="14"/>
      <c r="D515" s="19"/>
      <c r="E515" s="19"/>
      <c r="F515" s="14"/>
      <c r="G515" s="88"/>
      <c r="H515" s="18"/>
      <c r="I515" s="120"/>
      <c r="J515" s="27"/>
      <c r="K515" s="88"/>
      <c r="L515" s="14"/>
      <c r="M515" s="14"/>
      <c r="N515" s="19"/>
    </row>
    <row r="516" spans="1:14" x14ac:dyDescent="0.25">
      <c r="A516" s="22"/>
      <c r="B516" s="26"/>
      <c r="C516" s="14"/>
      <c r="D516" s="22"/>
      <c r="E516" s="22"/>
      <c r="F516" s="36"/>
      <c r="G516" s="27"/>
      <c r="H516" s="26"/>
      <c r="I516" s="124"/>
      <c r="J516" s="27"/>
      <c r="K516" s="88"/>
      <c r="L516" s="14"/>
      <c r="M516" s="18"/>
      <c r="N516" s="22"/>
    </row>
    <row r="517" spans="1:14" x14ac:dyDescent="0.25">
      <c r="K517" s="127"/>
    </row>
  </sheetData>
  <sortState xmlns:xlrd2="http://schemas.microsoft.com/office/spreadsheetml/2017/richdata2" ref="A5:M169">
    <sortCondition ref="B5:B169"/>
  </sortState>
  <conditionalFormatting sqref="O195:V195">
    <cfRule type="cellIs" priority="2" operator="equal">
      <formula>0</formula>
    </cfRule>
  </conditionalFormatting>
  <conditionalFormatting sqref="O297:V298">
    <cfRule type="cellIs" dxfId="0" priority="1" operator="equal">
      <formula>0</formula>
    </cfRule>
  </conditionalFormatting>
  <pageMargins left="0.7" right="0.7" top="0.75" bottom="0.75" header="0.3" footer="0.3"/>
  <pageSetup paperSize="9" scale="10" orientation="landscape" r:id="rId1"/>
  <rowBreaks count="1" manualBreakCount="1">
    <brk id="172"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7D457-D2BF-4FDC-A41E-AE657E068F40}">
  <dimension ref="A1:N14"/>
  <sheetViews>
    <sheetView view="pageBreakPreview" zoomScale="115" zoomScaleNormal="115" zoomScaleSheetLayoutView="115" workbookViewId="0"/>
  </sheetViews>
  <sheetFormatPr defaultRowHeight="15" x14ac:dyDescent="0.25"/>
  <cols>
    <col min="1" max="1" width="5.5703125" customWidth="1"/>
    <col min="2" max="2" width="6.7109375" customWidth="1"/>
    <col min="3" max="3" width="5.85546875" customWidth="1"/>
    <col min="5" max="5" width="17.140625" customWidth="1"/>
    <col min="6" max="6" width="14.85546875" customWidth="1"/>
    <col min="7" max="7" width="6.5703125" style="77" customWidth="1"/>
    <col min="8" max="8" width="6.5703125" style="123" customWidth="1"/>
    <col min="9" max="9" width="7" style="123" customWidth="1"/>
    <col min="10" max="10" width="7.42578125" style="123" customWidth="1"/>
    <col min="11" max="11" width="7.28515625" style="123" customWidth="1"/>
    <col min="12" max="12" width="26.85546875" customWidth="1"/>
    <col min="13" max="13" width="27.85546875" customWidth="1"/>
    <col min="14" max="14" width="26" customWidth="1"/>
  </cols>
  <sheetData>
    <row r="1" spans="1:14" ht="12.75" customHeight="1" x14ac:dyDescent="0.25">
      <c r="A1" s="138" t="s">
        <v>1318</v>
      </c>
      <c r="B1" s="6"/>
      <c r="C1" s="130"/>
    </row>
    <row r="2" spans="1:14" ht="12.75" customHeight="1" x14ac:dyDescent="0.25">
      <c r="A2" s="9" t="s">
        <v>39</v>
      </c>
      <c r="B2" s="6"/>
      <c r="C2" s="130"/>
    </row>
    <row r="3" spans="1:14" ht="13.5" customHeight="1" x14ac:dyDescent="0.25">
      <c r="A3" s="83" t="s">
        <v>1260</v>
      </c>
      <c r="B3" s="9"/>
      <c r="C3" s="10"/>
    </row>
    <row r="4" spans="1:14" ht="45" x14ac:dyDescent="0.25">
      <c r="A4" s="11" t="s">
        <v>0</v>
      </c>
      <c r="B4" s="11" t="s">
        <v>1</v>
      </c>
      <c r="C4" s="11" t="s">
        <v>2</v>
      </c>
      <c r="D4" s="12" t="s">
        <v>3</v>
      </c>
      <c r="E4" s="12" t="s">
        <v>4</v>
      </c>
      <c r="F4" s="12" t="s">
        <v>6</v>
      </c>
      <c r="G4" s="13" t="s">
        <v>7</v>
      </c>
      <c r="H4" s="13" t="s">
        <v>8</v>
      </c>
      <c r="I4" s="12" t="s">
        <v>9</v>
      </c>
      <c r="J4" s="12" t="s">
        <v>10</v>
      </c>
      <c r="K4" s="13" t="s">
        <v>11</v>
      </c>
      <c r="L4" s="13" t="s">
        <v>12</v>
      </c>
      <c r="M4" s="12" t="s">
        <v>13</v>
      </c>
      <c r="N4" s="96"/>
    </row>
    <row r="5" spans="1:14" ht="61.5" customHeight="1" x14ac:dyDescent="0.25">
      <c r="A5" s="8" t="s">
        <v>40</v>
      </c>
      <c r="B5" s="14">
        <v>8.1</v>
      </c>
      <c r="C5" s="8" t="s">
        <v>240</v>
      </c>
      <c r="D5" s="19" t="s">
        <v>41</v>
      </c>
      <c r="E5" s="19" t="s">
        <v>42</v>
      </c>
      <c r="F5" s="19"/>
      <c r="G5" s="15">
        <v>10.56792018419033</v>
      </c>
      <c r="H5" s="15"/>
      <c r="I5" s="165">
        <v>1</v>
      </c>
      <c r="J5" s="166">
        <v>4.3499999999999996</v>
      </c>
      <c r="K5" s="16">
        <f>G5*I5/J5</f>
        <v>2.4294069388943287</v>
      </c>
      <c r="L5" s="20" t="s">
        <v>894</v>
      </c>
      <c r="M5" s="19"/>
    </row>
    <row r="6" spans="1:14" ht="35.25" customHeight="1" x14ac:dyDescent="0.25">
      <c r="A6" s="7" t="s">
        <v>43</v>
      </c>
      <c r="B6" s="18">
        <v>8.1999999999999993</v>
      </c>
      <c r="C6" s="8" t="s">
        <v>240</v>
      </c>
      <c r="D6" s="7" t="s">
        <v>44</v>
      </c>
      <c r="E6" s="19" t="s">
        <v>890</v>
      </c>
      <c r="F6" s="19" t="s">
        <v>249</v>
      </c>
      <c r="G6" s="15">
        <v>7.5497076023391809</v>
      </c>
      <c r="H6" s="165">
        <v>1</v>
      </c>
      <c r="I6" s="165">
        <v>1</v>
      </c>
      <c r="J6" s="166">
        <f>365/7*10</f>
        <v>521.42857142857144</v>
      </c>
      <c r="K6" s="16">
        <f>G6*I6/J6</f>
        <v>1.4478891292157332E-2</v>
      </c>
      <c r="L6" s="1" t="s">
        <v>889</v>
      </c>
      <c r="M6" s="8" t="s">
        <v>888</v>
      </c>
    </row>
    <row r="7" spans="1:14" ht="48" customHeight="1" x14ac:dyDescent="0.25">
      <c r="A7" s="7" t="s">
        <v>43</v>
      </c>
      <c r="B7" s="18">
        <v>8.1999999999999993</v>
      </c>
      <c r="C7" s="8" t="s">
        <v>240</v>
      </c>
      <c r="D7" s="7" t="s">
        <v>44</v>
      </c>
      <c r="E7" s="8" t="s">
        <v>45</v>
      </c>
      <c r="F7" s="20" t="s">
        <v>46</v>
      </c>
      <c r="G7" s="15">
        <v>0</v>
      </c>
      <c r="H7" s="164">
        <v>1</v>
      </c>
      <c r="I7" s="165">
        <v>1</v>
      </c>
      <c r="J7" s="166">
        <f>365/84</f>
        <v>4.3452380952380949</v>
      </c>
      <c r="K7" s="15">
        <f>G7*I7/J7</f>
        <v>0</v>
      </c>
      <c r="L7" s="7" t="s">
        <v>893</v>
      </c>
      <c r="M7" s="19" t="s">
        <v>1271</v>
      </c>
      <c r="N7" s="19"/>
    </row>
    <row r="8" spans="1:14" ht="81" customHeight="1" x14ac:dyDescent="0.25">
      <c r="A8" s="7" t="s">
        <v>43</v>
      </c>
      <c r="B8" s="1">
        <v>8.1999999999999993</v>
      </c>
      <c r="C8" s="8" t="s">
        <v>240</v>
      </c>
      <c r="D8" s="8" t="s">
        <v>44</v>
      </c>
      <c r="E8" s="8" t="s">
        <v>47</v>
      </c>
      <c r="F8" s="20" t="s">
        <v>46</v>
      </c>
      <c r="G8" s="15">
        <v>10.785296574770257</v>
      </c>
      <c r="H8" s="164">
        <v>1</v>
      </c>
      <c r="I8" s="165">
        <v>1</v>
      </c>
      <c r="J8" s="166">
        <v>4.3452380952380949</v>
      </c>
      <c r="K8" s="16">
        <f>G8*I8/J8</f>
        <v>2.4820956500841143</v>
      </c>
      <c r="L8" s="19" t="s">
        <v>892</v>
      </c>
      <c r="M8" s="19" t="s">
        <v>48</v>
      </c>
      <c r="N8" s="19"/>
    </row>
    <row r="9" spans="1:14" ht="72" customHeight="1" x14ac:dyDescent="0.25">
      <c r="A9" s="18" t="s">
        <v>43</v>
      </c>
      <c r="B9" s="1">
        <v>8.3000000000000007</v>
      </c>
      <c r="C9" s="14" t="s">
        <v>240</v>
      </c>
      <c r="D9" s="14" t="s">
        <v>44</v>
      </c>
      <c r="E9" s="1" t="s">
        <v>49</v>
      </c>
      <c r="F9" s="17" t="s">
        <v>50</v>
      </c>
      <c r="G9" s="15">
        <v>25.345446950710105</v>
      </c>
      <c r="H9" s="164">
        <v>1</v>
      </c>
      <c r="I9" s="165">
        <v>1</v>
      </c>
      <c r="J9" s="166">
        <f>365/84</f>
        <v>4.3452380952380949</v>
      </c>
      <c r="K9" s="16">
        <f>G9*I9/J9</f>
        <v>5.8329247776976683</v>
      </c>
      <c r="L9" s="19" t="s">
        <v>891</v>
      </c>
      <c r="M9" s="22" t="s">
        <v>51</v>
      </c>
      <c r="N9" s="1"/>
    </row>
    <row r="11" spans="1:14" x14ac:dyDescent="0.25">
      <c r="E11" s="142" t="s">
        <v>1296</v>
      </c>
      <c r="F11" s="141">
        <f>K5</f>
        <v>2.4294069388943287</v>
      </c>
    </row>
    <row r="12" spans="1:14" x14ac:dyDescent="0.25">
      <c r="E12" s="142" t="s">
        <v>1297</v>
      </c>
      <c r="F12" s="141">
        <f>SUM(K6:K9)</f>
        <v>8.329499319073939</v>
      </c>
    </row>
    <row r="13" spans="1:14" x14ac:dyDescent="0.25">
      <c r="E13" s="142" t="s">
        <v>1298</v>
      </c>
      <c r="F13" s="142">
        <v>0</v>
      </c>
    </row>
    <row r="14" spans="1:14" ht="23.25" x14ac:dyDescent="0.25">
      <c r="E14" s="146" t="s">
        <v>1299</v>
      </c>
      <c r="F14" s="142">
        <v>0</v>
      </c>
    </row>
  </sheetData>
  <pageMargins left="0.7" right="0.7" top="0.75" bottom="0.75" header="0.3" footer="0.3"/>
  <pageSetup paperSize="9" scale="8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5051A-8CBC-46C9-932F-EAF547F952F4}">
  <dimension ref="A1:N47"/>
  <sheetViews>
    <sheetView view="pageBreakPreview" zoomScaleNormal="115" zoomScaleSheetLayoutView="100" workbookViewId="0"/>
  </sheetViews>
  <sheetFormatPr defaultRowHeight="15" x14ac:dyDescent="0.25"/>
  <cols>
    <col min="1" max="1" width="5.42578125" customWidth="1"/>
    <col min="2" max="2" width="6.85546875" customWidth="1"/>
    <col min="3" max="3" width="6.140625" customWidth="1"/>
    <col min="4" max="4" width="16.28515625" customWidth="1"/>
    <col min="5" max="5" width="14" customWidth="1"/>
    <col min="7" max="7" width="6.28515625" style="123" customWidth="1"/>
    <col min="8" max="8" width="5.140625" style="123" customWidth="1"/>
    <col min="9" max="9" width="6.85546875" style="123" customWidth="1"/>
    <col min="10" max="10" width="7.85546875" style="123" customWidth="1"/>
    <col min="11" max="11" width="6.28515625" style="123" customWidth="1"/>
    <col min="12" max="12" width="33.7109375" customWidth="1"/>
    <col min="13" max="13" width="33.85546875" customWidth="1"/>
    <col min="14" max="14" width="17" customWidth="1"/>
  </cols>
  <sheetData>
    <row r="1" spans="1:14" x14ac:dyDescent="0.25">
      <c r="A1" s="138" t="s">
        <v>1318</v>
      </c>
      <c r="B1" s="28"/>
      <c r="C1" s="7"/>
      <c r="D1" s="7"/>
      <c r="E1" s="7"/>
      <c r="F1" s="7"/>
      <c r="G1" s="18"/>
      <c r="H1" s="18"/>
      <c r="I1" s="18"/>
      <c r="J1" s="18"/>
      <c r="K1" s="18"/>
      <c r="L1" s="8"/>
      <c r="M1" s="7"/>
      <c r="N1" s="7"/>
    </row>
    <row r="2" spans="1:14" x14ac:dyDescent="0.25">
      <c r="A2" s="6" t="s">
        <v>701</v>
      </c>
      <c r="B2" s="28"/>
      <c r="C2" s="6"/>
      <c r="D2" s="2"/>
      <c r="E2" s="2"/>
      <c r="F2" s="2"/>
      <c r="G2" s="4"/>
      <c r="H2" s="133"/>
      <c r="I2" s="4"/>
      <c r="J2" s="4"/>
      <c r="K2" s="4"/>
      <c r="L2" s="2"/>
      <c r="M2" s="2"/>
      <c r="N2" s="2"/>
    </row>
    <row r="3" spans="1:14" x14ac:dyDescent="0.25">
      <c r="A3" s="9" t="s">
        <v>1260</v>
      </c>
      <c r="B3" s="23"/>
      <c r="C3" s="19"/>
      <c r="D3" s="19"/>
      <c r="E3" s="19"/>
      <c r="F3" s="19"/>
      <c r="G3" s="1"/>
      <c r="H3" s="1"/>
      <c r="I3" s="1"/>
      <c r="J3" s="1"/>
      <c r="K3" s="1"/>
      <c r="L3" s="19"/>
      <c r="M3" s="19"/>
      <c r="N3" s="106"/>
    </row>
    <row r="4" spans="1:14" ht="33.75" x14ac:dyDescent="0.25">
      <c r="A4" s="11" t="s">
        <v>0</v>
      </c>
      <c r="B4" s="11" t="s">
        <v>1</v>
      </c>
      <c r="C4" s="11" t="s">
        <v>2</v>
      </c>
      <c r="D4" s="12" t="s">
        <v>3</v>
      </c>
      <c r="E4" s="12" t="s">
        <v>4</v>
      </c>
      <c r="F4" s="12" t="s">
        <v>6</v>
      </c>
      <c r="G4" s="13" t="s">
        <v>7</v>
      </c>
      <c r="H4" s="13" t="s">
        <v>8</v>
      </c>
      <c r="I4" s="12" t="s">
        <v>9</v>
      </c>
      <c r="J4" s="12" t="s">
        <v>10</v>
      </c>
      <c r="K4" s="13" t="s">
        <v>11</v>
      </c>
      <c r="L4" s="13" t="s">
        <v>12</v>
      </c>
      <c r="M4" s="10" t="s">
        <v>13</v>
      </c>
      <c r="N4" s="96"/>
    </row>
    <row r="5" spans="1:14" ht="22.5" x14ac:dyDescent="0.25">
      <c r="A5" s="7" t="s">
        <v>16</v>
      </c>
      <c r="B5" s="18">
        <v>12.1</v>
      </c>
      <c r="C5" s="7" t="s">
        <v>240</v>
      </c>
      <c r="D5" s="14" t="s">
        <v>732</v>
      </c>
      <c r="E5" s="14" t="s">
        <v>733</v>
      </c>
      <c r="F5" s="8"/>
      <c r="G5" s="16">
        <v>43.962962962962962</v>
      </c>
      <c r="H5" s="29">
        <v>1</v>
      </c>
      <c r="I5" s="29">
        <v>1</v>
      </c>
      <c r="J5" s="152">
        <v>6</v>
      </c>
      <c r="K5" s="16">
        <f t="shared" ref="K5:K45" si="0">G5*I5/J5</f>
        <v>7.3271604938271606</v>
      </c>
      <c r="L5" s="8" t="s">
        <v>734</v>
      </c>
      <c r="M5" s="53"/>
      <c r="N5" s="54"/>
    </row>
    <row r="6" spans="1:14" ht="25.5" customHeight="1" x14ac:dyDescent="0.25">
      <c r="A6" s="7" t="s">
        <v>16</v>
      </c>
      <c r="B6" s="18">
        <v>12.1</v>
      </c>
      <c r="C6" s="7" t="s">
        <v>240</v>
      </c>
      <c r="D6" s="4" t="s">
        <v>20</v>
      </c>
      <c r="E6" s="4" t="s">
        <v>702</v>
      </c>
      <c r="F6" s="8" t="s">
        <v>735</v>
      </c>
      <c r="G6" s="16">
        <v>16.475120370370369</v>
      </c>
      <c r="H6" s="29">
        <v>1</v>
      </c>
      <c r="I6" s="29">
        <v>1</v>
      </c>
      <c r="J6" s="152">
        <f>365/7*10</f>
        <v>521.42857142857144</v>
      </c>
      <c r="K6" s="16">
        <f t="shared" si="0"/>
        <v>3.1596121258244542E-2</v>
      </c>
      <c r="L6" s="8" t="s">
        <v>736</v>
      </c>
      <c r="M6" s="8" t="s">
        <v>737</v>
      </c>
      <c r="N6" s="8"/>
    </row>
    <row r="7" spans="1:14" ht="22.5" x14ac:dyDescent="0.25">
      <c r="A7" s="7" t="s">
        <v>16</v>
      </c>
      <c r="B7" s="18">
        <v>12.1</v>
      </c>
      <c r="C7" s="7" t="s">
        <v>240</v>
      </c>
      <c r="D7" s="14" t="s">
        <v>20</v>
      </c>
      <c r="E7" s="14" t="s">
        <v>731</v>
      </c>
      <c r="F7" s="7" t="s">
        <v>28</v>
      </c>
      <c r="G7" s="16">
        <v>1.0990740740740741</v>
      </c>
      <c r="H7" s="154">
        <v>1</v>
      </c>
      <c r="I7" s="154">
        <v>2</v>
      </c>
      <c r="J7" s="152">
        <f>365/84</f>
        <v>4.3452380952380949</v>
      </c>
      <c r="K7" s="15">
        <f t="shared" si="0"/>
        <v>0.50587519025875194</v>
      </c>
      <c r="L7" s="8" t="s">
        <v>738</v>
      </c>
      <c r="M7" s="8" t="s">
        <v>712</v>
      </c>
      <c r="N7" s="8"/>
    </row>
    <row r="8" spans="1:14" ht="22.5" x14ac:dyDescent="0.25">
      <c r="A8" s="7" t="s">
        <v>16</v>
      </c>
      <c r="B8" s="18">
        <v>12.1</v>
      </c>
      <c r="C8" s="7" t="s">
        <v>240</v>
      </c>
      <c r="D8" s="14" t="s">
        <v>20</v>
      </c>
      <c r="E8" s="14" t="s">
        <v>703</v>
      </c>
      <c r="F8" s="7" t="s">
        <v>28</v>
      </c>
      <c r="G8" s="16">
        <v>3.1323611111111114</v>
      </c>
      <c r="H8" s="154">
        <v>4</v>
      </c>
      <c r="I8" s="154">
        <v>1</v>
      </c>
      <c r="J8" s="152">
        <v>2</v>
      </c>
      <c r="K8" s="15">
        <f t="shared" si="0"/>
        <v>1.5661805555555557</v>
      </c>
      <c r="L8" s="8" t="s">
        <v>739</v>
      </c>
      <c r="M8" s="8" t="s">
        <v>704</v>
      </c>
      <c r="N8" s="8"/>
    </row>
    <row r="9" spans="1:14" x14ac:dyDescent="0.25">
      <c r="A9" s="7" t="s">
        <v>16</v>
      </c>
      <c r="B9" s="18">
        <v>12.1</v>
      </c>
      <c r="C9" s="7" t="s">
        <v>240</v>
      </c>
      <c r="D9" s="14" t="s">
        <v>20</v>
      </c>
      <c r="E9" s="14" t="s">
        <v>740</v>
      </c>
      <c r="F9" s="8" t="s">
        <v>28</v>
      </c>
      <c r="G9" s="16">
        <v>2.7476851851851851</v>
      </c>
      <c r="H9" s="29">
        <v>20</v>
      </c>
      <c r="I9" s="29">
        <v>1</v>
      </c>
      <c r="J9" s="152">
        <f>20/14</f>
        <v>1.4285714285714286</v>
      </c>
      <c r="K9" s="16">
        <f t="shared" si="0"/>
        <v>1.9233796296296295</v>
      </c>
      <c r="L9" s="8" t="s">
        <v>741</v>
      </c>
      <c r="M9" s="8" t="s">
        <v>742</v>
      </c>
      <c r="N9" s="54"/>
    </row>
    <row r="10" spans="1:14" ht="22.5" x14ac:dyDescent="0.25">
      <c r="A10" s="7" t="s">
        <v>16</v>
      </c>
      <c r="B10" s="18">
        <v>12.1</v>
      </c>
      <c r="C10" s="7" t="s">
        <v>240</v>
      </c>
      <c r="D10" s="14" t="s">
        <v>20</v>
      </c>
      <c r="E10" s="14" t="s">
        <v>724</v>
      </c>
      <c r="F10" s="7" t="s">
        <v>28</v>
      </c>
      <c r="G10" s="16">
        <v>1.6376203703703704</v>
      </c>
      <c r="H10" s="154">
        <v>1</v>
      </c>
      <c r="I10" s="154">
        <v>1</v>
      </c>
      <c r="J10" s="152">
        <f>365/84</f>
        <v>4.3452380952380949</v>
      </c>
      <c r="K10" s="15">
        <f t="shared" si="0"/>
        <v>0.37687701674277019</v>
      </c>
      <c r="L10" s="8" t="s">
        <v>743</v>
      </c>
      <c r="M10" s="8" t="s">
        <v>705</v>
      </c>
      <c r="N10" s="8"/>
    </row>
    <row r="11" spans="1:14" ht="22.5" x14ac:dyDescent="0.25">
      <c r="A11" s="7" t="s">
        <v>16</v>
      </c>
      <c r="B11" s="18">
        <v>12.1</v>
      </c>
      <c r="C11" s="7" t="s">
        <v>240</v>
      </c>
      <c r="D11" s="14" t="s">
        <v>732</v>
      </c>
      <c r="E11" s="14" t="s">
        <v>725</v>
      </c>
      <c r="F11" s="8" t="s">
        <v>28</v>
      </c>
      <c r="G11" s="16">
        <v>1.9233796296296297</v>
      </c>
      <c r="H11" s="29">
        <v>4</v>
      </c>
      <c r="I11" s="29">
        <v>1</v>
      </c>
      <c r="J11" s="152">
        <f>365/84*6</f>
        <v>26.071428571428569</v>
      </c>
      <c r="K11" s="16">
        <f t="shared" si="0"/>
        <v>7.3773465246067996E-2</v>
      </c>
      <c r="L11" s="8" t="s">
        <v>744</v>
      </c>
      <c r="M11" s="8" t="s">
        <v>745</v>
      </c>
      <c r="N11" s="7"/>
    </row>
    <row r="12" spans="1:14" ht="33.75" x14ac:dyDescent="0.25">
      <c r="A12" s="7" t="s">
        <v>16</v>
      </c>
      <c r="B12" s="18">
        <v>12.1</v>
      </c>
      <c r="C12" s="7" t="s">
        <v>240</v>
      </c>
      <c r="D12" s="14" t="s">
        <v>20</v>
      </c>
      <c r="E12" s="14" t="s">
        <v>746</v>
      </c>
      <c r="F12" s="7" t="s">
        <v>28</v>
      </c>
      <c r="G12" s="16">
        <v>0.76935185185185184</v>
      </c>
      <c r="H12" s="154">
        <v>1</v>
      </c>
      <c r="I12" s="29">
        <v>1</v>
      </c>
      <c r="J12" s="152">
        <f>365/84*6</f>
        <v>26.071428571428569</v>
      </c>
      <c r="K12" s="155">
        <f t="shared" si="0"/>
        <v>2.9509386098427196E-2</v>
      </c>
      <c r="L12" s="8" t="s">
        <v>747</v>
      </c>
      <c r="M12" s="8" t="s">
        <v>748</v>
      </c>
      <c r="N12" s="7"/>
    </row>
    <row r="13" spans="1:14" x14ac:dyDescent="0.25">
      <c r="A13" s="7" t="s">
        <v>16</v>
      </c>
      <c r="B13" s="18">
        <v>12.1</v>
      </c>
      <c r="C13" s="18" t="s">
        <v>240</v>
      </c>
      <c r="D13" s="26" t="s">
        <v>749</v>
      </c>
      <c r="E13" s="14" t="s">
        <v>708</v>
      </c>
      <c r="F13" s="7" t="s">
        <v>28</v>
      </c>
      <c r="G13" s="16">
        <v>1.0880833333333333</v>
      </c>
      <c r="H13" s="154">
        <v>1</v>
      </c>
      <c r="I13" s="154">
        <v>1</v>
      </c>
      <c r="J13" s="152">
        <f>365/84</f>
        <v>4.3452380952380949</v>
      </c>
      <c r="K13" s="15">
        <f t="shared" si="0"/>
        <v>0.2504082191780822</v>
      </c>
      <c r="L13" s="8" t="s">
        <v>750</v>
      </c>
      <c r="M13" s="8" t="s">
        <v>709</v>
      </c>
      <c r="N13" s="8"/>
    </row>
    <row r="14" spans="1:14" ht="22.5" x14ac:dyDescent="0.25">
      <c r="A14" s="7" t="s">
        <v>16</v>
      </c>
      <c r="B14" s="18">
        <v>12.1</v>
      </c>
      <c r="C14" s="18" t="s">
        <v>240</v>
      </c>
      <c r="D14" s="26" t="s">
        <v>749</v>
      </c>
      <c r="E14" s="14" t="s">
        <v>751</v>
      </c>
      <c r="F14" s="7" t="s">
        <v>715</v>
      </c>
      <c r="G14" s="16">
        <v>3.2862314814814817</v>
      </c>
      <c r="H14" s="154">
        <v>30</v>
      </c>
      <c r="I14" s="29">
        <v>1</v>
      </c>
      <c r="J14" s="152">
        <f>30/7</f>
        <v>4.2857142857142856</v>
      </c>
      <c r="K14" s="155">
        <f t="shared" si="0"/>
        <v>0.76678734567901241</v>
      </c>
      <c r="L14" s="8" t="s">
        <v>752</v>
      </c>
      <c r="M14" s="39" t="s">
        <v>753</v>
      </c>
      <c r="N14" s="8"/>
    </row>
    <row r="15" spans="1:14" ht="22.5" x14ac:dyDescent="0.25">
      <c r="A15" s="7" t="s">
        <v>16</v>
      </c>
      <c r="B15" s="18">
        <v>12.1</v>
      </c>
      <c r="C15" s="7" t="s">
        <v>240</v>
      </c>
      <c r="D15" s="14" t="s">
        <v>20</v>
      </c>
      <c r="E15" s="14" t="s">
        <v>726</v>
      </c>
      <c r="F15" s="7" t="s">
        <v>28</v>
      </c>
      <c r="G15" s="16">
        <v>0.8792592592592593</v>
      </c>
      <c r="H15" s="154">
        <v>1</v>
      </c>
      <c r="I15" s="154">
        <v>1</v>
      </c>
      <c r="J15" s="152">
        <f>365/84</f>
        <v>4.3452380952380949</v>
      </c>
      <c r="K15" s="15">
        <f t="shared" si="0"/>
        <v>0.20235007610350078</v>
      </c>
      <c r="L15" s="8" t="s">
        <v>754</v>
      </c>
      <c r="M15" s="8" t="s">
        <v>706</v>
      </c>
      <c r="N15" s="8"/>
    </row>
    <row r="16" spans="1:14" ht="22.5" x14ac:dyDescent="0.25">
      <c r="A16" s="7" t="s">
        <v>16</v>
      </c>
      <c r="B16" s="18">
        <v>12.1</v>
      </c>
      <c r="C16" s="7" t="s">
        <v>240</v>
      </c>
      <c r="D16" s="14" t="s">
        <v>20</v>
      </c>
      <c r="E16" s="14" t="s">
        <v>727</v>
      </c>
      <c r="F16" s="7" t="s">
        <v>28</v>
      </c>
      <c r="G16" s="16">
        <v>1.0880833333333333</v>
      </c>
      <c r="H16" s="154">
        <v>3</v>
      </c>
      <c r="I16" s="154">
        <v>1</v>
      </c>
      <c r="J16" s="152">
        <f>365/84*9</f>
        <v>39.107142857142854</v>
      </c>
      <c r="K16" s="15">
        <f t="shared" si="0"/>
        <v>2.7823135464231357E-2</v>
      </c>
      <c r="L16" s="8" t="s">
        <v>755</v>
      </c>
      <c r="M16" s="49" t="s">
        <v>707</v>
      </c>
      <c r="N16" s="8"/>
    </row>
    <row r="17" spans="1:14" ht="27" customHeight="1" x14ac:dyDescent="0.25">
      <c r="A17" s="7" t="s">
        <v>16</v>
      </c>
      <c r="B17" s="18">
        <v>12.1</v>
      </c>
      <c r="C17" s="18" t="s">
        <v>240</v>
      </c>
      <c r="D17" s="26" t="s">
        <v>749</v>
      </c>
      <c r="E17" s="14" t="s">
        <v>756</v>
      </c>
      <c r="F17" s="7" t="s">
        <v>28</v>
      </c>
      <c r="G17" s="16">
        <v>0.8792592592592593</v>
      </c>
      <c r="H17" s="154">
        <v>30</v>
      </c>
      <c r="I17" s="29">
        <v>1</v>
      </c>
      <c r="J17" s="152">
        <f>30/7</f>
        <v>4.2857142857142856</v>
      </c>
      <c r="K17" s="155">
        <f t="shared" si="0"/>
        <v>0.20516049382716051</v>
      </c>
      <c r="L17" s="8" t="s">
        <v>757</v>
      </c>
      <c r="M17" s="8" t="s">
        <v>758</v>
      </c>
      <c r="N17" s="8"/>
    </row>
    <row r="18" spans="1:14" ht="22.5" x14ac:dyDescent="0.25">
      <c r="A18" s="7" t="s">
        <v>16</v>
      </c>
      <c r="B18" s="18">
        <v>12.1</v>
      </c>
      <c r="C18" s="18" t="s">
        <v>240</v>
      </c>
      <c r="D18" s="26" t="s">
        <v>749</v>
      </c>
      <c r="E18" s="14" t="s">
        <v>759</v>
      </c>
      <c r="F18" s="8" t="s">
        <v>75</v>
      </c>
      <c r="G18" s="16">
        <v>1.3738425925925926</v>
      </c>
      <c r="H18" s="29">
        <v>1</v>
      </c>
      <c r="I18" s="29">
        <v>1</v>
      </c>
      <c r="J18" s="152">
        <f>365/7*2</f>
        <v>104.28571428571429</v>
      </c>
      <c r="K18" s="16">
        <f t="shared" si="0"/>
        <v>1.3173833079654996E-2</v>
      </c>
      <c r="L18" s="8" t="s">
        <v>760</v>
      </c>
      <c r="M18" s="8" t="s">
        <v>761</v>
      </c>
      <c r="N18" s="8"/>
    </row>
    <row r="19" spans="1:14" ht="22.5" x14ac:dyDescent="0.25">
      <c r="A19" s="7" t="s">
        <v>16</v>
      </c>
      <c r="B19" s="18">
        <v>12.1</v>
      </c>
      <c r="C19" s="7" t="s">
        <v>240</v>
      </c>
      <c r="D19" s="14" t="s">
        <v>20</v>
      </c>
      <c r="E19" s="14" t="s">
        <v>729</v>
      </c>
      <c r="F19" s="7" t="s">
        <v>28</v>
      </c>
      <c r="G19" s="16">
        <v>1.0990740740740741</v>
      </c>
      <c r="H19" s="154">
        <v>1</v>
      </c>
      <c r="I19" s="154">
        <v>1</v>
      </c>
      <c r="J19" s="152">
        <f>365/84</f>
        <v>4.3452380952380949</v>
      </c>
      <c r="K19" s="15">
        <f t="shared" si="0"/>
        <v>0.25293759512937597</v>
      </c>
      <c r="L19" s="8" t="s">
        <v>762</v>
      </c>
      <c r="M19" s="53" t="s">
        <v>763</v>
      </c>
      <c r="N19" s="8"/>
    </row>
    <row r="20" spans="1:14" x14ac:dyDescent="0.25">
      <c r="A20" s="7" t="s">
        <v>16</v>
      </c>
      <c r="B20" s="18">
        <v>12.1</v>
      </c>
      <c r="C20" s="7" t="s">
        <v>240</v>
      </c>
      <c r="D20" s="14" t="s">
        <v>20</v>
      </c>
      <c r="E20" s="14" t="s">
        <v>764</v>
      </c>
      <c r="F20" s="8" t="s">
        <v>28</v>
      </c>
      <c r="G20" s="16">
        <v>1.0990740740740741</v>
      </c>
      <c r="H20" s="29">
        <v>1</v>
      </c>
      <c r="I20" s="29">
        <v>1</v>
      </c>
      <c r="J20" s="152">
        <f>365/84*3</f>
        <v>13.035714285714285</v>
      </c>
      <c r="K20" s="16">
        <f t="shared" si="0"/>
        <v>8.4312531709791985E-2</v>
      </c>
      <c r="L20" s="8" t="s">
        <v>765</v>
      </c>
      <c r="M20" s="8" t="s">
        <v>766</v>
      </c>
      <c r="N20" s="8"/>
    </row>
    <row r="21" spans="1:14" x14ac:dyDescent="0.25">
      <c r="A21" s="7" t="s">
        <v>16</v>
      </c>
      <c r="B21" s="18">
        <v>12.1</v>
      </c>
      <c r="C21" s="18" t="s">
        <v>240</v>
      </c>
      <c r="D21" s="14" t="s">
        <v>20</v>
      </c>
      <c r="E21" s="14" t="s">
        <v>767</v>
      </c>
      <c r="F21" s="8" t="s">
        <v>28</v>
      </c>
      <c r="G21" s="16">
        <v>0.82430555555555562</v>
      </c>
      <c r="H21" s="29">
        <v>2</v>
      </c>
      <c r="I21" s="29">
        <v>1</v>
      </c>
      <c r="J21" s="152">
        <f>365/84*2</f>
        <v>8.6904761904761898</v>
      </c>
      <c r="K21" s="16">
        <f t="shared" si="0"/>
        <v>9.4851598173516002E-2</v>
      </c>
      <c r="L21" s="8" t="s">
        <v>768</v>
      </c>
      <c r="M21" s="49" t="s">
        <v>769</v>
      </c>
      <c r="N21" s="8"/>
    </row>
    <row r="22" spans="1:14" ht="22.5" x14ac:dyDescent="0.25">
      <c r="A22" s="7" t="s">
        <v>16</v>
      </c>
      <c r="B22" s="18">
        <v>12.1</v>
      </c>
      <c r="C22" s="7" t="s">
        <v>240</v>
      </c>
      <c r="D22" s="14" t="s">
        <v>20</v>
      </c>
      <c r="E22" s="14" t="s">
        <v>730</v>
      </c>
      <c r="F22" s="8" t="s">
        <v>28</v>
      </c>
      <c r="G22" s="16">
        <v>1.9673425925925927</v>
      </c>
      <c r="H22" s="29">
        <v>1</v>
      </c>
      <c r="I22" s="29">
        <v>1</v>
      </c>
      <c r="J22" s="152">
        <f>365/84</f>
        <v>4.3452380952380949</v>
      </c>
      <c r="K22" s="16">
        <f t="shared" si="0"/>
        <v>0.45275829528158301</v>
      </c>
      <c r="L22" s="8" t="s">
        <v>743</v>
      </c>
      <c r="M22" s="8" t="s">
        <v>770</v>
      </c>
      <c r="N22" s="8"/>
    </row>
    <row r="23" spans="1:14" ht="22.5" x14ac:dyDescent="0.25">
      <c r="A23" s="7" t="s">
        <v>16</v>
      </c>
      <c r="B23" s="18">
        <v>12.1</v>
      </c>
      <c r="C23" s="7" t="s">
        <v>240</v>
      </c>
      <c r="D23" s="14" t="s">
        <v>20</v>
      </c>
      <c r="E23" s="14" t="s">
        <v>771</v>
      </c>
      <c r="F23" s="8" t="s">
        <v>28</v>
      </c>
      <c r="G23" s="16">
        <v>1.9673425925925927</v>
      </c>
      <c r="H23" s="29">
        <v>1</v>
      </c>
      <c r="I23" s="29">
        <v>1</v>
      </c>
      <c r="J23" s="152">
        <f>365/84</f>
        <v>4.3452380952380949</v>
      </c>
      <c r="K23" s="16">
        <f t="shared" si="0"/>
        <v>0.45275829528158301</v>
      </c>
      <c r="L23" s="8" t="s">
        <v>743</v>
      </c>
      <c r="M23" s="8" t="s">
        <v>772</v>
      </c>
      <c r="N23" s="8"/>
    </row>
    <row r="24" spans="1:14" ht="33.75" x14ac:dyDescent="0.25">
      <c r="A24" s="7" t="s">
        <v>16</v>
      </c>
      <c r="B24" s="18">
        <v>12.1</v>
      </c>
      <c r="C24" s="7" t="s">
        <v>240</v>
      </c>
      <c r="D24" s="14" t="s">
        <v>20</v>
      </c>
      <c r="E24" s="14" t="s">
        <v>773</v>
      </c>
      <c r="F24" s="8"/>
      <c r="G24" s="16">
        <v>10.99074074074074</v>
      </c>
      <c r="H24" s="29">
        <v>1</v>
      </c>
      <c r="I24" s="29">
        <v>1</v>
      </c>
      <c r="J24" s="152">
        <f>365/84*2</f>
        <v>8.6904761904761898</v>
      </c>
      <c r="K24" s="16">
        <f t="shared" si="0"/>
        <v>1.2646879756468798</v>
      </c>
      <c r="L24" s="8" t="s">
        <v>774</v>
      </c>
      <c r="M24" s="8"/>
      <c r="N24" s="8"/>
    </row>
    <row r="25" spans="1:14" ht="22.5" x14ac:dyDescent="0.25">
      <c r="A25" s="7" t="s">
        <v>16</v>
      </c>
      <c r="B25" s="18">
        <v>12.1</v>
      </c>
      <c r="C25" s="7" t="s">
        <v>240</v>
      </c>
      <c r="D25" s="14" t="s">
        <v>20</v>
      </c>
      <c r="E25" s="14" t="s">
        <v>775</v>
      </c>
      <c r="F25" s="8" t="s">
        <v>75</v>
      </c>
      <c r="G25" s="16">
        <v>1.0990740740740741</v>
      </c>
      <c r="H25" s="29">
        <v>1</v>
      </c>
      <c r="I25" s="29">
        <v>1</v>
      </c>
      <c r="J25" s="152">
        <f>365/84</f>
        <v>4.3452380952380949</v>
      </c>
      <c r="K25" s="16">
        <f t="shared" si="0"/>
        <v>0.25293759512937597</v>
      </c>
      <c r="L25" s="8" t="s">
        <v>762</v>
      </c>
      <c r="M25" s="8" t="s">
        <v>776</v>
      </c>
      <c r="N25" s="8"/>
    </row>
    <row r="26" spans="1:14" ht="24.75" customHeight="1" x14ac:dyDescent="0.25">
      <c r="A26" s="7" t="s">
        <v>16</v>
      </c>
      <c r="B26" s="18">
        <v>12.1</v>
      </c>
      <c r="C26" s="7" t="s">
        <v>240</v>
      </c>
      <c r="D26" s="14" t="s">
        <v>20</v>
      </c>
      <c r="E26" s="14" t="s">
        <v>777</v>
      </c>
      <c r="F26" s="8" t="s">
        <v>28</v>
      </c>
      <c r="G26" s="16">
        <v>1.2089814814814817</v>
      </c>
      <c r="H26" s="29">
        <v>1</v>
      </c>
      <c r="I26" s="29">
        <v>1</v>
      </c>
      <c r="J26" s="152">
        <f>365/84</f>
        <v>4.3452380952380949</v>
      </c>
      <c r="K26" s="16">
        <f t="shared" si="0"/>
        <v>0.27823135464231363</v>
      </c>
      <c r="L26" s="8" t="s">
        <v>778</v>
      </c>
      <c r="M26" s="8" t="s">
        <v>779</v>
      </c>
      <c r="N26" s="8"/>
    </row>
    <row r="27" spans="1:14" ht="22.5" x14ac:dyDescent="0.25">
      <c r="A27" s="7" t="s">
        <v>16</v>
      </c>
      <c r="B27" s="18">
        <v>12.1</v>
      </c>
      <c r="C27" s="7" t="s">
        <v>240</v>
      </c>
      <c r="D27" s="14" t="s">
        <v>20</v>
      </c>
      <c r="E27" s="14" t="s">
        <v>780</v>
      </c>
      <c r="F27" s="8" t="s">
        <v>28</v>
      </c>
      <c r="G27" s="16">
        <v>6.594444444444445</v>
      </c>
      <c r="H27" s="29">
        <v>1</v>
      </c>
      <c r="I27" s="29">
        <v>1</v>
      </c>
      <c r="J27" s="152">
        <f>365/84</f>
        <v>4.3452380952380949</v>
      </c>
      <c r="K27" s="16">
        <f t="shared" si="0"/>
        <v>1.517625570776256</v>
      </c>
      <c r="L27" s="8" t="s">
        <v>781</v>
      </c>
      <c r="M27" s="8" t="s">
        <v>717</v>
      </c>
      <c r="N27" s="8"/>
    </row>
    <row r="28" spans="1:14" ht="22.5" x14ac:dyDescent="0.25">
      <c r="A28" s="7" t="s">
        <v>16</v>
      </c>
      <c r="B28" s="18">
        <v>12.1</v>
      </c>
      <c r="C28" s="7" t="s">
        <v>240</v>
      </c>
      <c r="D28" s="14" t="s">
        <v>732</v>
      </c>
      <c r="E28" s="14" t="s">
        <v>728</v>
      </c>
      <c r="F28" s="7" t="s">
        <v>27</v>
      </c>
      <c r="G28" s="16">
        <v>6.594444444444445</v>
      </c>
      <c r="H28" s="29">
        <v>1</v>
      </c>
      <c r="I28" s="29">
        <v>1</v>
      </c>
      <c r="J28" s="152">
        <f>365/7</f>
        <v>52.142857142857146</v>
      </c>
      <c r="K28" s="16">
        <f t="shared" si="0"/>
        <v>0.12646879756468798</v>
      </c>
      <c r="L28" s="8" t="s">
        <v>782</v>
      </c>
      <c r="M28" s="8" t="s">
        <v>713</v>
      </c>
      <c r="N28" s="8"/>
    </row>
    <row r="29" spans="1:14" ht="24" customHeight="1" x14ac:dyDescent="0.25">
      <c r="A29" s="7" t="s">
        <v>16</v>
      </c>
      <c r="B29" s="18">
        <v>12.1</v>
      </c>
      <c r="C29" s="7" t="s">
        <v>240</v>
      </c>
      <c r="D29" s="14" t="s">
        <v>20</v>
      </c>
      <c r="E29" s="14" t="s">
        <v>710</v>
      </c>
      <c r="F29" s="7" t="s">
        <v>28</v>
      </c>
      <c r="G29" s="16">
        <v>0.54953703703703705</v>
      </c>
      <c r="H29" s="29">
        <v>1</v>
      </c>
      <c r="I29" s="29">
        <v>1</v>
      </c>
      <c r="J29" s="152">
        <f>365/7*5</f>
        <v>260.71428571428572</v>
      </c>
      <c r="K29" s="16">
        <f t="shared" si="0"/>
        <v>2.1078132927447994E-3</v>
      </c>
      <c r="L29" s="8" t="s">
        <v>1272</v>
      </c>
      <c r="M29" s="8" t="s">
        <v>711</v>
      </c>
      <c r="N29" s="8"/>
    </row>
    <row r="30" spans="1:14" ht="26.25" customHeight="1" x14ac:dyDescent="0.25">
      <c r="A30" s="7" t="s">
        <v>16</v>
      </c>
      <c r="B30" s="18">
        <v>12.1</v>
      </c>
      <c r="C30" s="7" t="s">
        <v>240</v>
      </c>
      <c r="D30" s="14" t="s">
        <v>20</v>
      </c>
      <c r="E30" s="14" t="s">
        <v>783</v>
      </c>
      <c r="F30" s="8" t="s">
        <v>28</v>
      </c>
      <c r="G30" s="16">
        <v>5.4953703703703702</v>
      </c>
      <c r="H30" s="29">
        <v>1</v>
      </c>
      <c r="I30" s="29">
        <v>1</v>
      </c>
      <c r="J30" s="152">
        <f>365/7*5</f>
        <v>260.71428571428572</v>
      </c>
      <c r="K30" s="16">
        <f t="shared" si="0"/>
        <v>2.1078132927447996E-2</v>
      </c>
      <c r="L30" s="8" t="s">
        <v>784</v>
      </c>
      <c r="M30" s="49" t="s">
        <v>785</v>
      </c>
      <c r="N30" s="8"/>
    </row>
    <row r="31" spans="1:14" x14ac:dyDescent="0.25">
      <c r="A31" s="7" t="s">
        <v>16</v>
      </c>
      <c r="B31" s="18">
        <v>12.1</v>
      </c>
      <c r="C31" s="7" t="s">
        <v>240</v>
      </c>
      <c r="D31" s="14" t="s">
        <v>20</v>
      </c>
      <c r="E31" s="14" t="s">
        <v>714</v>
      </c>
      <c r="F31" s="7"/>
      <c r="G31" s="16">
        <v>0</v>
      </c>
      <c r="H31" s="29">
        <v>0</v>
      </c>
      <c r="I31" s="29">
        <v>0</v>
      </c>
      <c r="J31" s="152">
        <f>365/7*10</f>
        <v>521.42857142857144</v>
      </c>
      <c r="K31" s="16">
        <f t="shared" si="0"/>
        <v>0</v>
      </c>
      <c r="L31" s="8" t="s">
        <v>786</v>
      </c>
      <c r="M31" s="8" t="s">
        <v>787</v>
      </c>
      <c r="N31" s="8"/>
    </row>
    <row r="32" spans="1:14" ht="22.5" x14ac:dyDescent="0.25">
      <c r="A32" s="7" t="s">
        <v>16</v>
      </c>
      <c r="B32" s="18">
        <v>12.1</v>
      </c>
      <c r="C32" s="7" t="s">
        <v>240</v>
      </c>
      <c r="D32" s="14" t="s">
        <v>20</v>
      </c>
      <c r="E32" s="14" t="s">
        <v>788</v>
      </c>
      <c r="F32" s="8" t="s">
        <v>715</v>
      </c>
      <c r="G32" s="16">
        <v>4.385305555555556</v>
      </c>
      <c r="H32" s="29">
        <v>1</v>
      </c>
      <c r="I32" s="29">
        <v>1</v>
      </c>
      <c r="J32" s="152">
        <f>365/7*3</f>
        <v>156.42857142857144</v>
      </c>
      <c r="K32" s="16">
        <f t="shared" si="0"/>
        <v>2.8033916793505833E-2</v>
      </c>
      <c r="L32" s="8" t="s">
        <v>789</v>
      </c>
      <c r="M32" s="39" t="s">
        <v>790</v>
      </c>
      <c r="N32" s="8"/>
    </row>
    <row r="33" spans="1:14" ht="33.75" x14ac:dyDescent="0.25">
      <c r="A33" s="7" t="s">
        <v>16</v>
      </c>
      <c r="B33" s="18">
        <v>12.1</v>
      </c>
      <c r="C33" s="7" t="s">
        <v>240</v>
      </c>
      <c r="D33" s="14" t="s">
        <v>20</v>
      </c>
      <c r="E33" s="14" t="s">
        <v>791</v>
      </c>
      <c r="F33" s="8" t="s">
        <v>27</v>
      </c>
      <c r="G33" s="16">
        <v>2.4729166666666669</v>
      </c>
      <c r="H33" s="29">
        <v>1</v>
      </c>
      <c r="I33" s="29">
        <v>1</v>
      </c>
      <c r="J33" s="152">
        <f>365/7*10</f>
        <v>521.42857142857144</v>
      </c>
      <c r="K33" s="16">
        <f t="shared" si="0"/>
        <v>4.7425799086757989E-3</v>
      </c>
      <c r="L33" s="8" t="s">
        <v>792</v>
      </c>
      <c r="M33" s="8" t="s">
        <v>793</v>
      </c>
      <c r="N33" s="8"/>
    </row>
    <row r="34" spans="1:14" ht="22.5" x14ac:dyDescent="0.25">
      <c r="A34" s="7" t="s">
        <v>16</v>
      </c>
      <c r="B34" s="18">
        <v>12.1</v>
      </c>
      <c r="C34" s="7" t="s">
        <v>240</v>
      </c>
      <c r="D34" s="14" t="s">
        <v>20</v>
      </c>
      <c r="E34" s="14" t="s">
        <v>794</v>
      </c>
      <c r="F34" s="8"/>
      <c r="G34" s="16">
        <v>10.99074074074074</v>
      </c>
      <c r="H34" s="29">
        <v>1</v>
      </c>
      <c r="I34" s="29">
        <v>1</v>
      </c>
      <c r="J34" s="152">
        <f>365/84*2</f>
        <v>8.6904761904761898</v>
      </c>
      <c r="K34" s="16">
        <f t="shared" si="0"/>
        <v>1.2646879756468798</v>
      </c>
      <c r="L34" s="8" t="s">
        <v>795</v>
      </c>
      <c r="M34" s="53"/>
      <c r="N34" s="8"/>
    </row>
    <row r="35" spans="1:14" ht="33.75" x14ac:dyDescent="0.25">
      <c r="A35" s="7" t="s">
        <v>16</v>
      </c>
      <c r="B35" s="18">
        <v>12.1</v>
      </c>
      <c r="C35" s="7" t="s">
        <v>240</v>
      </c>
      <c r="D35" s="14" t="s">
        <v>20</v>
      </c>
      <c r="E35" s="14" t="s">
        <v>716</v>
      </c>
      <c r="F35" s="8"/>
      <c r="G35" s="16">
        <v>54.953703703703702</v>
      </c>
      <c r="H35" s="29">
        <v>1</v>
      </c>
      <c r="I35" s="29">
        <v>1</v>
      </c>
      <c r="J35" s="152">
        <f>365/7</f>
        <v>52.142857142857146</v>
      </c>
      <c r="K35" s="16">
        <f t="shared" si="0"/>
        <v>1.0539066463723996</v>
      </c>
      <c r="L35" s="55" t="s">
        <v>796</v>
      </c>
      <c r="M35" s="39"/>
      <c r="N35" s="8"/>
    </row>
    <row r="36" spans="1:14" ht="22.5" x14ac:dyDescent="0.25">
      <c r="A36" s="7" t="s">
        <v>16</v>
      </c>
      <c r="B36" s="18">
        <v>12.3</v>
      </c>
      <c r="C36" s="7" t="s">
        <v>240</v>
      </c>
      <c r="D36" s="14" t="s">
        <v>149</v>
      </c>
      <c r="E36" s="7" t="s">
        <v>797</v>
      </c>
      <c r="F36" s="8" t="s">
        <v>249</v>
      </c>
      <c r="G36" s="16">
        <v>20.753949044585987</v>
      </c>
      <c r="H36" s="29">
        <v>1</v>
      </c>
      <c r="I36" s="29">
        <v>1</v>
      </c>
      <c r="J36" s="152">
        <f>365/7*10</f>
        <v>521.42857142857144</v>
      </c>
      <c r="K36" s="16">
        <f t="shared" si="0"/>
        <v>3.980209405811011E-2</v>
      </c>
      <c r="L36" s="8" t="s">
        <v>798</v>
      </c>
      <c r="M36" s="32" t="s">
        <v>799</v>
      </c>
      <c r="N36" s="8"/>
    </row>
    <row r="37" spans="1:14" ht="45" x14ac:dyDescent="0.25">
      <c r="A37" s="7" t="s">
        <v>16</v>
      </c>
      <c r="B37" s="18">
        <v>12.3</v>
      </c>
      <c r="C37" s="7" t="s">
        <v>240</v>
      </c>
      <c r="D37" s="14" t="s">
        <v>149</v>
      </c>
      <c r="E37" s="14" t="s">
        <v>800</v>
      </c>
      <c r="F37" s="8" t="s">
        <v>249</v>
      </c>
      <c r="G37" s="16">
        <v>46.719745222929937</v>
      </c>
      <c r="H37" s="29">
        <v>2</v>
      </c>
      <c r="I37" s="29">
        <v>1</v>
      </c>
      <c r="J37" s="152">
        <f>365/7*20</f>
        <v>1042.8571428571429</v>
      </c>
      <c r="K37" s="16">
        <f t="shared" si="0"/>
        <v>4.4799755693220485E-2</v>
      </c>
      <c r="L37" s="8" t="s">
        <v>801</v>
      </c>
      <c r="M37" s="8" t="s">
        <v>802</v>
      </c>
      <c r="N37" s="8"/>
    </row>
    <row r="38" spans="1:14" ht="22.5" x14ac:dyDescent="0.25">
      <c r="A38" s="7" t="s">
        <v>16</v>
      </c>
      <c r="B38" s="18">
        <v>12.3</v>
      </c>
      <c r="C38" s="7" t="s">
        <v>240</v>
      </c>
      <c r="D38" s="14" t="s">
        <v>149</v>
      </c>
      <c r="E38" s="14" t="s">
        <v>803</v>
      </c>
      <c r="F38" s="8" t="s">
        <v>58</v>
      </c>
      <c r="G38" s="16">
        <v>5.1807006369426754</v>
      </c>
      <c r="H38" s="29">
        <v>1</v>
      </c>
      <c r="I38" s="29">
        <v>1</v>
      </c>
      <c r="J38" s="152">
        <f>365/7*4</f>
        <v>208.57142857142858</v>
      </c>
      <c r="K38" s="16">
        <f t="shared" si="0"/>
        <v>2.4838975656574471E-2</v>
      </c>
      <c r="L38" s="8" t="s">
        <v>804</v>
      </c>
      <c r="M38" s="32" t="s">
        <v>805</v>
      </c>
      <c r="N38" s="8"/>
    </row>
    <row r="39" spans="1:14" ht="22.5" x14ac:dyDescent="0.25">
      <c r="A39" s="26" t="s">
        <v>55</v>
      </c>
      <c r="B39" s="26">
        <v>12.3</v>
      </c>
      <c r="C39" s="26" t="s">
        <v>240</v>
      </c>
      <c r="D39" s="26" t="s">
        <v>149</v>
      </c>
      <c r="E39" s="26" t="s">
        <v>806</v>
      </c>
      <c r="F39" s="8" t="s">
        <v>807</v>
      </c>
      <c r="G39" s="16">
        <v>15.573248407643312</v>
      </c>
      <c r="H39" s="156">
        <v>2</v>
      </c>
      <c r="I39" s="156">
        <v>1</v>
      </c>
      <c r="J39" s="158">
        <f>365/7*10</f>
        <v>521.42857142857144</v>
      </c>
      <c r="K39" s="155">
        <f t="shared" si="0"/>
        <v>2.9866503795480323E-2</v>
      </c>
      <c r="L39" s="26" t="s">
        <v>808</v>
      </c>
      <c r="M39" s="39" t="s">
        <v>809</v>
      </c>
      <c r="N39" s="8"/>
    </row>
    <row r="40" spans="1:14" ht="22.5" x14ac:dyDescent="0.25">
      <c r="A40" s="26" t="s">
        <v>55</v>
      </c>
      <c r="B40" s="26">
        <v>12.3</v>
      </c>
      <c r="C40" s="26" t="s">
        <v>240</v>
      </c>
      <c r="D40" s="26" t="s">
        <v>149</v>
      </c>
      <c r="E40" s="26" t="s">
        <v>810</v>
      </c>
      <c r="F40" s="8" t="s">
        <v>718</v>
      </c>
      <c r="G40" s="16">
        <v>17.639299363057322</v>
      </c>
      <c r="H40" s="154">
        <v>1</v>
      </c>
      <c r="I40" s="154">
        <v>1</v>
      </c>
      <c r="J40" s="158">
        <f>365/7*2</f>
        <v>104.28571428571429</v>
      </c>
      <c r="K40" s="155">
        <f t="shared" si="0"/>
        <v>0.16914396649507021</v>
      </c>
      <c r="L40" s="26" t="s">
        <v>811</v>
      </c>
      <c r="M40" s="8" t="s">
        <v>719</v>
      </c>
      <c r="N40" s="8"/>
    </row>
    <row r="41" spans="1:14" ht="22.5" x14ac:dyDescent="0.25">
      <c r="A41" s="7" t="s">
        <v>16</v>
      </c>
      <c r="B41" s="18">
        <v>12.3</v>
      </c>
      <c r="C41" s="7" t="s">
        <v>240</v>
      </c>
      <c r="D41" s="14" t="s">
        <v>149</v>
      </c>
      <c r="E41" s="8" t="s">
        <v>812</v>
      </c>
      <c r="F41" s="8" t="s">
        <v>807</v>
      </c>
      <c r="G41" s="16">
        <v>29.070063694267517</v>
      </c>
      <c r="H41" s="29">
        <v>1</v>
      </c>
      <c r="I41" s="29">
        <v>1</v>
      </c>
      <c r="J41" s="152">
        <f>365/7*5</f>
        <v>260.71428571428572</v>
      </c>
      <c r="K41" s="16">
        <f t="shared" si="0"/>
        <v>0.11150161416979322</v>
      </c>
      <c r="L41" s="8" t="s">
        <v>813</v>
      </c>
      <c r="M41" s="56" t="s">
        <v>814</v>
      </c>
      <c r="N41" s="8"/>
    </row>
    <row r="42" spans="1:14" ht="23.25" x14ac:dyDescent="0.25">
      <c r="A42" s="7" t="s">
        <v>16</v>
      </c>
      <c r="B42" s="18">
        <v>12.3</v>
      </c>
      <c r="C42" s="7" t="s">
        <v>240</v>
      </c>
      <c r="D42" s="14" t="s">
        <v>149</v>
      </c>
      <c r="E42" s="8" t="s">
        <v>721</v>
      </c>
      <c r="F42" s="8" t="s">
        <v>807</v>
      </c>
      <c r="G42" s="16">
        <v>20.245222929936304</v>
      </c>
      <c r="H42" s="29">
        <v>1</v>
      </c>
      <c r="I42" s="29">
        <v>1</v>
      </c>
      <c r="J42" s="152">
        <f>365/7*2</f>
        <v>104.28571428571429</v>
      </c>
      <c r="K42" s="16">
        <f t="shared" si="0"/>
        <v>0.19413227467062208</v>
      </c>
      <c r="L42" s="8" t="s">
        <v>815</v>
      </c>
      <c r="M42" s="57" t="s">
        <v>816</v>
      </c>
      <c r="N42" s="8"/>
    </row>
    <row r="43" spans="1:14" x14ac:dyDescent="0.25">
      <c r="A43" s="7" t="s">
        <v>16</v>
      </c>
      <c r="B43" s="18">
        <v>12.3</v>
      </c>
      <c r="C43" s="7" t="s">
        <v>240</v>
      </c>
      <c r="D43" s="14" t="s">
        <v>149</v>
      </c>
      <c r="E43" s="8" t="s">
        <v>722</v>
      </c>
      <c r="F43" s="8" t="s">
        <v>27</v>
      </c>
      <c r="G43" s="16">
        <v>7.7866242038216562</v>
      </c>
      <c r="H43" s="29">
        <v>1</v>
      </c>
      <c r="I43" s="29">
        <v>1</v>
      </c>
      <c r="J43" s="152">
        <f>365/7*2</f>
        <v>104.28571428571429</v>
      </c>
      <c r="K43" s="16">
        <f t="shared" si="0"/>
        <v>7.4666259488700815E-2</v>
      </c>
      <c r="L43" s="8" t="s">
        <v>817</v>
      </c>
      <c r="M43" s="51" t="s">
        <v>818</v>
      </c>
      <c r="N43" s="8"/>
    </row>
    <row r="44" spans="1:14" x14ac:dyDescent="0.25">
      <c r="A44" s="7" t="s">
        <v>16</v>
      </c>
      <c r="B44" s="18">
        <v>12.3</v>
      </c>
      <c r="C44" s="7" t="s">
        <v>240</v>
      </c>
      <c r="D44" s="14" t="s">
        <v>149</v>
      </c>
      <c r="E44" s="8" t="s">
        <v>723</v>
      </c>
      <c r="F44" s="8"/>
      <c r="G44" s="16">
        <v>10.38216560509554</v>
      </c>
      <c r="H44" s="29">
        <v>1</v>
      </c>
      <c r="I44" s="29">
        <v>1</v>
      </c>
      <c r="J44" s="152">
        <f>365/7</f>
        <v>52.142857142857146</v>
      </c>
      <c r="K44" s="16">
        <f t="shared" si="0"/>
        <v>0.19911002530320213</v>
      </c>
      <c r="L44" s="8" t="s">
        <v>819</v>
      </c>
      <c r="M44" s="53"/>
      <c r="N44" s="8"/>
    </row>
    <row r="45" spans="1:14" ht="33.75" x14ac:dyDescent="0.25">
      <c r="A45" s="38" t="s">
        <v>16</v>
      </c>
      <c r="B45" s="38">
        <v>9.1</v>
      </c>
      <c r="C45" s="18" t="s">
        <v>240</v>
      </c>
      <c r="D45" s="19" t="s">
        <v>720</v>
      </c>
      <c r="E45" s="22" t="s">
        <v>654</v>
      </c>
      <c r="F45" s="22" t="s">
        <v>457</v>
      </c>
      <c r="G45" s="156">
        <v>29.730170212765955</v>
      </c>
      <c r="H45" s="156">
        <v>1</v>
      </c>
      <c r="I45" s="156">
        <v>1</v>
      </c>
      <c r="J45" s="158">
        <f>365/7*20</f>
        <v>1042.8571428571429</v>
      </c>
      <c r="K45" s="16">
        <f t="shared" si="0"/>
        <v>2.8508382395802969E-2</v>
      </c>
      <c r="L45" s="22" t="s">
        <v>655</v>
      </c>
      <c r="M45" s="8" t="s">
        <v>656</v>
      </c>
      <c r="N45" s="8"/>
    </row>
    <row r="47" spans="1:14" ht="33.75" x14ac:dyDescent="0.25">
      <c r="E47" s="4" t="s">
        <v>1300</v>
      </c>
      <c r="F47" s="90">
        <f>SUM(K5:K45)</f>
        <v>21.368551487951851</v>
      </c>
    </row>
  </sheetData>
  <pageMargins left="0.7" right="0.7" top="0.75" bottom="0.75" header="0.3" footer="0.3"/>
  <pageSetup paperSize="9" scale="46"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787164FA2F0584B9DFB1D1900CDE361" ma:contentTypeVersion="13" ma:contentTypeDescription="Create a new document." ma:contentTypeScope="" ma:versionID="486a4c7009ecc50b20586fc9427f4da2">
  <xsd:schema xmlns:xsd="http://www.w3.org/2001/XMLSchema" xmlns:xs="http://www.w3.org/2001/XMLSchema" xmlns:p="http://schemas.microsoft.com/office/2006/metadata/properties" xmlns:ns2="e24ecc01-7ca0-4387-8322-32016978bd06" xmlns:ns3="6ddb0372-e2a1-456a-8256-8d404cb00e78" targetNamespace="http://schemas.microsoft.com/office/2006/metadata/properties" ma:root="true" ma:fieldsID="350e3f21d6ca7eebd3c87379eefb6eef" ns2:_="" ns3:_="">
    <xsd:import namespace="e24ecc01-7ca0-4387-8322-32016978bd06"/>
    <xsd:import namespace="6ddb0372-e2a1-456a-8256-8d404cb00e78"/>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4ecc01-7ca0-4387-8322-32016978bd0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56de3010-cad3-4aa9-927a-e47e01e5a510"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ddb0372-e2a1-456a-8256-8d404cb00e78"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7360ba00-0083-4746-a6bb-a2cc861dc1b6}" ma:internalName="TaxCatchAll" ma:showField="CatchAllData" ma:web="6ddb0372-e2a1-456a-8256-8d404cb00e78">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24ecc01-7ca0-4387-8322-32016978bd06">
      <Terms xmlns="http://schemas.microsoft.com/office/infopath/2007/PartnerControls"/>
    </lcf76f155ced4ddcb4097134ff3c332f>
    <TaxCatchAll xmlns="6ddb0372-e2a1-456a-8256-8d404cb00e78" xsi:nil="true"/>
  </documentManagement>
</p:properties>
</file>

<file path=customXml/itemProps1.xml><?xml version="1.0" encoding="utf-8"?>
<ds:datastoreItem xmlns:ds="http://schemas.openxmlformats.org/officeDocument/2006/customXml" ds:itemID="{279C8D83-AEBE-4DAE-AF6D-1CBA2AD10FED}">
  <ds:schemaRefs>
    <ds:schemaRef ds:uri="http://schemas.microsoft.com/sharepoint/v3/contenttype/forms"/>
  </ds:schemaRefs>
</ds:datastoreItem>
</file>

<file path=customXml/itemProps2.xml><?xml version="1.0" encoding="utf-8"?>
<ds:datastoreItem xmlns:ds="http://schemas.openxmlformats.org/officeDocument/2006/customXml" ds:itemID="{E7BAC690-BAFD-4CAC-A89C-ADB6E61C2BB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24ecc01-7ca0-4387-8322-32016978bd06"/>
    <ds:schemaRef ds:uri="6ddb0372-e2a1-456a-8256-8d404cb00e7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7C00904-0B0C-414A-87FB-C0BC51EB2923}">
  <ds:schemaRefs>
    <ds:schemaRef ds:uri="http://schemas.microsoft.com/office/2006/metadata/properties"/>
    <ds:schemaRef ds:uri="http://schemas.microsoft.com/office/infopath/2007/PartnerControls"/>
    <ds:schemaRef ds:uri="e24ecc01-7ca0-4387-8322-32016978bd06"/>
    <ds:schemaRef ds:uri="6ddb0372-e2a1-456a-8256-8d404cb00e7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3</vt:i4>
      </vt:variant>
    </vt:vector>
  </HeadingPairs>
  <TitlesOfParts>
    <vt:vector size="16" baseType="lpstr">
      <vt:lpstr>Totals</vt:lpstr>
      <vt:lpstr>Food</vt:lpstr>
      <vt:lpstr>Alcohol</vt:lpstr>
      <vt:lpstr>Clothing</vt:lpstr>
      <vt:lpstr>Footwear</vt:lpstr>
      <vt:lpstr>Housing</vt:lpstr>
      <vt:lpstr>HHGoods</vt:lpstr>
      <vt:lpstr>HHServices</vt:lpstr>
      <vt:lpstr>PersonalGoods+Services</vt:lpstr>
      <vt:lpstr>Health</vt:lpstr>
      <vt:lpstr>Transport</vt:lpstr>
      <vt:lpstr>LeisureGoods</vt:lpstr>
      <vt:lpstr>LeisureServices</vt:lpstr>
      <vt:lpstr>Clothing!Print_Area</vt:lpstr>
      <vt:lpstr>LeisureServices!Print_Area</vt:lpstr>
      <vt:lpstr>Clothing!Print_Titles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Chloe Blackwell</dc:creator>
  <cp:lastModifiedBy>Simon Sarkar</cp:lastModifiedBy>
  <dcterms:created xsi:type="dcterms:W3CDTF">2022-04-20T14:21:19Z</dcterms:created>
  <dcterms:modified xsi:type="dcterms:W3CDTF">2024-01-16T21:04:40Z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0x010100C787164FA2F0584B9DFB1D1900CDE361</vt:lpwstr>
  </property>
  <property fmtid="{D5CDD505-2E9C-101B-9397-08002B2CF9AE}" pid="3" name="MediaServiceImageTags">
    <vt:lpwstr/>
  </property>
</Properties>
</file>