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33" documentId="14_{3B5A2DE9-6E2D-46B3-96A7-62AF8C8CD714}" xr6:coauthVersionLast="47" xr6:coauthVersionMax="47" xr10:uidLastSave="{03E1A280-CA85-4241-9CDB-1AD0C1ACE137}"/>
  <bookViews>
    <workbookView xWindow="3765" yWindow="3765" windowWidth="19845" windowHeight="11295" tabRatio="784" xr2:uid="{FF745DE7-E49C-4FB1-8FA5-F6BB029BB396}"/>
  </bookViews>
  <sheets>
    <sheet name="Totals" sheetId="18" r:id="rId1"/>
    <sheet name="Food" sheetId="15" r:id="rId2"/>
    <sheet name="Alcohol" sheetId="16" r:id="rId3"/>
    <sheet name="Clothing" sheetId="13" r:id="rId4"/>
    <sheet name="Housing" sheetId="5" r:id="rId5"/>
    <sheet name="HHGoods" sheetId="6" r:id="rId6"/>
    <sheet name="HHServices" sheetId="11" r:id="rId7"/>
    <sheet name="PersonalGoods+Services" sheetId="7" r:id="rId8"/>
    <sheet name="Health" sheetId="12" r:id="rId9"/>
    <sheet name="Transport" sheetId="8" r:id="rId10"/>
    <sheet name="LeisureGoods" sheetId="9" r:id="rId11"/>
    <sheet name="LeisureServices" sheetId="10" r:id="rId12"/>
  </sheets>
  <externalReferences>
    <externalReference r:id="rId13"/>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3">Clothing!$A$1:$M$7</definedName>
    <definedName name="_xlnm.Print_Area" localSheetId="1">Food!$A$1:$M$99</definedName>
    <definedName name="_xlnm.Print_Area" localSheetId="8">Health!$A$1:$M$20</definedName>
    <definedName name="_xlnm.Print_Area" localSheetId="5">HHGoods!$A$1:$M$193</definedName>
    <definedName name="_xlnm.Print_Area" localSheetId="11">LeisureServices!$A$1:$M$19</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4" i="18" l="1"/>
  <c r="F42" i="7" l="1"/>
  <c r="F14" i="11"/>
  <c r="E98" i="15"/>
  <c r="K9" i="7"/>
  <c r="E29" i="18" l="1"/>
  <c r="J191" i="6" l="1"/>
  <c r="K191" i="6" s="1"/>
  <c r="J190" i="6"/>
  <c r="K190" i="6" s="1"/>
  <c r="J189" i="6"/>
  <c r="K189" i="6" s="1"/>
  <c r="J188" i="6"/>
  <c r="K188" i="6" s="1"/>
  <c r="J187" i="6"/>
  <c r="K187" i="6" s="1"/>
  <c r="J186" i="6"/>
  <c r="K186" i="6" s="1"/>
  <c r="J185" i="6"/>
  <c r="K185" i="6" s="1"/>
  <c r="J184" i="6"/>
  <c r="K184" i="6" s="1"/>
  <c r="J183" i="6"/>
  <c r="K183" i="6" s="1"/>
  <c r="J182" i="6"/>
  <c r="K182" i="6" s="1"/>
  <c r="J181" i="6"/>
  <c r="K181" i="6" s="1"/>
  <c r="J180" i="6"/>
  <c r="K180" i="6" s="1"/>
  <c r="J179" i="6"/>
  <c r="K179" i="6" s="1"/>
  <c r="J178" i="6"/>
  <c r="K178" i="6" s="1"/>
  <c r="J177" i="6"/>
  <c r="K177" i="6" s="1"/>
  <c r="J176" i="6"/>
  <c r="K176" i="6" s="1"/>
  <c r="J175" i="6"/>
  <c r="K175" i="6" s="1"/>
  <c r="J174" i="6"/>
  <c r="K174" i="6" s="1"/>
  <c r="J173" i="6"/>
  <c r="K173" i="6" s="1"/>
  <c r="J172" i="6"/>
  <c r="K172" i="6" s="1"/>
  <c r="J171" i="6"/>
  <c r="K171" i="6" s="1"/>
  <c r="J170" i="6"/>
  <c r="K170" i="6" s="1"/>
  <c r="J169" i="6"/>
  <c r="K169" i="6" s="1"/>
  <c r="J168" i="6"/>
  <c r="K168" i="6" s="1"/>
  <c r="J167" i="6"/>
  <c r="K167" i="6" s="1"/>
  <c r="J166" i="6"/>
  <c r="K166" i="6" s="1"/>
  <c r="J165" i="6"/>
  <c r="K165" i="6" s="1"/>
  <c r="J164" i="6"/>
  <c r="K164" i="6" s="1"/>
  <c r="J163" i="6"/>
  <c r="K163" i="6" s="1"/>
  <c r="J162" i="6"/>
  <c r="K162" i="6" s="1"/>
  <c r="J161" i="6"/>
  <c r="K161" i="6" s="1"/>
  <c r="J160" i="6"/>
  <c r="K160" i="6" s="1"/>
  <c r="J159" i="6"/>
  <c r="K159" i="6" s="1"/>
  <c r="J158" i="6"/>
  <c r="K158" i="6" s="1"/>
  <c r="J157" i="6"/>
  <c r="K157" i="6" s="1"/>
  <c r="J156" i="6"/>
  <c r="K156" i="6" s="1"/>
  <c r="J155" i="6"/>
  <c r="K155" i="6" s="1"/>
  <c r="J154" i="6"/>
  <c r="K154" i="6" s="1"/>
  <c r="J153" i="6"/>
  <c r="K153" i="6" s="1"/>
  <c r="J152" i="6"/>
  <c r="K152" i="6" s="1"/>
  <c r="J151" i="6"/>
  <c r="K151" i="6" s="1"/>
  <c r="J150" i="6"/>
  <c r="K150" i="6" s="1"/>
  <c r="J149" i="6"/>
  <c r="K149" i="6" s="1"/>
  <c r="J148" i="6"/>
  <c r="K148" i="6" s="1"/>
  <c r="J147" i="6"/>
  <c r="K147" i="6" s="1"/>
  <c r="J146" i="6"/>
  <c r="K146" i="6" s="1"/>
  <c r="J145" i="6"/>
  <c r="K145" i="6" s="1"/>
  <c r="J144" i="6"/>
  <c r="K144" i="6" s="1"/>
  <c r="J143" i="6"/>
  <c r="K143" i="6" s="1"/>
  <c r="J142" i="6"/>
  <c r="K142" i="6" s="1"/>
  <c r="J141" i="6"/>
  <c r="K141" i="6" s="1"/>
  <c r="K140" i="6"/>
  <c r="J139" i="6"/>
  <c r="K139" i="6" s="1"/>
  <c r="J138" i="6"/>
  <c r="K138" i="6" s="1"/>
  <c r="K137" i="6"/>
  <c r="J136" i="6"/>
  <c r="K136" i="6" s="1"/>
  <c r="J135" i="6"/>
  <c r="K135" i="6" s="1"/>
  <c r="J134" i="6"/>
  <c r="K134" i="6" s="1"/>
  <c r="J133" i="6"/>
  <c r="K133" i="6" s="1"/>
  <c r="J132" i="6"/>
  <c r="K132" i="6" s="1"/>
  <c r="J131" i="6"/>
  <c r="K131" i="6" s="1"/>
  <c r="J130" i="6"/>
  <c r="K130" i="6" s="1"/>
  <c r="J129" i="6"/>
  <c r="K129" i="6" s="1"/>
  <c r="J128" i="6"/>
  <c r="K128" i="6" s="1"/>
  <c r="J127" i="6"/>
  <c r="K127" i="6" s="1"/>
  <c r="J126" i="6"/>
  <c r="K126" i="6" s="1"/>
  <c r="J125" i="6"/>
  <c r="K125" i="6" s="1"/>
  <c r="J124" i="6"/>
  <c r="K124" i="6" s="1"/>
  <c r="J123" i="6"/>
  <c r="K123" i="6" s="1"/>
  <c r="J121" i="6"/>
  <c r="K121" i="6" s="1"/>
  <c r="J120" i="6"/>
  <c r="K120" i="6" s="1"/>
  <c r="J119" i="6"/>
  <c r="K119" i="6" s="1"/>
  <c r="J118" i="6"/>
  <c r="K118" i="6" s="1"/>
  <c r="J117" i="6"/>
  <c r="K117" i="6" s="1"/>
  <c r="J116" i="6"/>
  <c r="K116" i="6" s="1"/>
  <c r="J115" i="6"/>
  <c r="K115" i="6" s="1"/>
  <c r="J114" i="6"/>
  <c r="K114" i="6" s="1"/>
  <c r="K113" i="6"/>
  <c r="K112" i="6"/>
  <c r="J111" i="6"/>
  <c r="K111" i="6" s="1"/>
  <c r="K110" i="6"/>
  <c r="J109" i="6"/>
  <c r="K109" i="6" s="1"/>
  <c r="K108" i="6"/>
  <c r="K107" i="6"/>
  <c r="J106" i="6"/>
  <c r="K106" i="6" s="1"/>
  <c r="J105" i="6"/>
  <c r="K105" i="6" s="1"/>
  <c r="K104" i="6"/>
  <c r="J103" i="6"/>
  <c r="K103" i="6" s="1"/>
  <c r="J102" i="6"/>
  <c r="K102" i="6" s="1"/>
  <c r="J101" i="6"/>
  <c r="K101" i="6" s="1"/>
  <c r="J100" i="6"/>
  <c r="K100" i="6" s="1"/>
  <c r="J99" i="6"/>
  <c r="K99" i="6" s="1"/>
  <c r="J98" i="6"/>
  <c r="K98" i="6" s="1"/>
  <c r="J97" i="6"/>
  <c r="K97" i="6" s="1"/>
  <c r="J96" i="6"/>
  <c r="K96" i="6" s="1"/>
  <c r="J95" i="6"/>
  <c r="K95" i="6" s="1"/>
  <c r="J94" i="6"/>
  <c r="K94" i="6" s="1"/>
  <c r="J93" i="6"/>
  <c r="K93" i="6" s="1"/>
  <c r="K92" i="6"/>
  <c r="J91" i="6"/>
  <c r="K91" i="6" s="1"/>
  <c r="J90" i="6"/>
  <c r="K90" i="6" s="1"/>
  <c r="J89" i="6"/>
  <c r="K89" i="6" s="1"/>
  <c r="J88" i="6"/>
  <c r="K88" i="6" s="1"/>
  <c r="J87" i="6"/>
  <c r="K87" i="6" s="1"/>
  <c r="J86" i="6"/>
  <c r="K86" i="6" s="1"/>
  <c r="J85" i="6"/>
  <c r="K85" i="6" s="1"/>
  <c r="J84" i="6"/>
  <c r="K84" i="6" s="1"/>
  <c r="J83" i="6"/>
  <c r="K83" i="6" s="1"/>
  <c r="J82" i="6"/>
  <c r="K82" i="6" s="1"/>
  <c r="J81" i="6"/>
  <c r="K81" i="6" s="1"/>
  <c r="J80" i="6"/>
  <c r="K80" i="6" s="1"/>
  <c r="J79" i="6"/>
  <c r="K79" i="6" s="1"/>
  <c r="J78" i="6"/>
  <c r="K78" i="6" s="1"/>
  <c r="J77" i="6"/>
  <c r="K77" i="6" s="1"/>
  <c r="J76" i="6"/>
  <c r="K76" i="6" s="1"/>
  <c r="J75" i="6"/>
  <c r="K75" i="6" s="1"/>
  <c r="J74" i="6"/>
  <c r="K74" i="6" s="1"/>
  <c r="J73" i="6"/>
  <c r="K73" i="6" s="1"/>
  <c r="J72" i="6"/>
  <c r="K72" i="6" s="1"/>
  <c r="J71" i="6"/>
  <c r="K71" i="6" s="1"/>
  <c r="J70" i="6"/>
  <c r="K70" i="6" s="1"/>
  <c r="J69" i="6"/>
  <c r="K69" i="6" s="1"/>
  <c r="J68" i="6"/>
  <c r="K68" i="6" s="1"/>
  <c r="J67" i="6"/>
  <c r="K67" i="6" s="1"/>
  <c r="J66" i="6"/>
  <c r="K66" i="6" s="1"/>
  <c r="J65" i="6"/>
  <c r="K65" i="6" s="1"/>
  <c r="J64" i="6"/>
  <c r="K64" i="6" s="1"/>
  <c r="J63" i="6"/>
  <c r="K63" i="6" s="1"/>
  <c r="J62" i="6"/>
  <c r="K62" i="6" s="1"/>
  <c r="J61" i="6"/>
  <c r="K61" i="6" s="1"/>
  <c r="J60" i="6"/>
  <c r="K60" i="6" s="1"/>
  <c r="J59" i="6"/>
  <c r="K59" i="6" s="1"/>
  <c r="J58" i="6"/>
  <c r="K58" i="6" s="1"/>
  <c r="J57" i="6"/>
  <c r="K57" i="6" s="1"/>
  <c r="J56" i="6"/>
  <c r="K56" i="6" s="1"/>
  <c r="J55" i="6"/>
  <c r="K55" i="6" s="1"/>
  <c r="J54" i="6"/>
  <c r="K54" i="6" s="1"/>
  <c r="J53" i="6"/>
  <c r="K53" i="6" s="1"/>
  <c r="J52" i="6"/>
  <c r="K52" i="6" s="1"/>
  <c r="J51" i="6"/>
  <c r="K51" i="6" s="1"/>
  <c r="J50" i="6"/>
  <c r="K50" i="6" s="1"/>
  <c r="J49" i="6"/>
  <c r="K49" i="6" s="1"/>
  <c r="J48" i="6"/>
  <c r="K48" i="6" s="1"/>
  <c r="J47" i="6"/>
  <c r="K47" i="6" s="1"/>
  <c r="J46" i="6"/>
  <c r="K46" i="6" s="1"/>
  <c r="J45" i="6"/>
  <c r="K45" i="6" s="1"/>
  <c r="J44" i="6"/>
  <c r="K44" i="6" s="1"/>
  <c r="J43" i="6"/>
  <c r="K43" i="6" s="1"/>
  <c r="J42" i="6"/>
  <c r="K42" i="6" s="1"/>
  <c r="J41" i="6"/>
  <c r="K41" i="6" s="1"/>
  <c r="J40" i="6"/>
  <c r="K40" i="6" s="1"/>
  <c r="J39" i="6"/>
  <c r="K39" i="6" s="1"/>
  <c r="J38" i="6"/>
  <c r="K38" i="6" s="1"/>
  <c r="J37" i="6"/>
  <c r="K37" i="6" s="1"/>
  <c r="J36" i="6"/>
  <c r="K36" i="6" s="1"/>
  <c r="J34" i="6"/>
  <c r="K34" i="6" s="1"/>
  <c r="J33" i="6"/>
  <c r="K33" i="6" s="1"/>
  <c r="J32" i="6"/>
  <c r="K32" i="6" s="1"/>
  <c r="J31" i="6"/>
  <c r="K31" i="6" s="1"/>
  <c r="J30" i="6"/>
  <c r="K30" i="6" s="1"/>
  <c r="J29" i="6"/>
  <c r="K29" i="6" s="1"/>
  <c r="J28" i="6"/>
  <c r="K28" i="6" s="1"/>
  <c r="J27" i="6"/>
  <c r="K27" i="6" s="1"/>
  <c r="J26" i="6"/>
  <c r="K26" i="6" s="1"/>
  <c r="J25" i="6"/>
  <c r="K25" i="6" s="1"/>
  <c r="J24" i="6"/>
  <c r="K24" i="6" s="1"/>
  <c r="J23" i="6"/>
  <c r="K23" i="6" s="1"/>
  <c r="J22" i="6"/>
  <c r="K22" i="6" s="1"/>
  <c r="J21" i="6"/>
  <c r="K21" i="6" s="1"/>
  <c r="J20" i="6"/>
  <c r="K20" i="6" s="1"/>
  <c r="J19" i="6"/>
  <c r="K19" i="6" s="1"/>
  <c r="J18" i="6"/>
  <c r="K18" i="6" s="1"/>
  <c r="J17" i="6"/>
  <c r="K17" i="6" s="1"/>
  <c r="J16" i="6"/>
  <c r="K16" i="6" s="1"/>
  <c r="J15" i="6"/>
  <c r="K15" i="6" s="1"/>
  <c r="J14" i="6"/>
  <c r="K14" i="6" s="1"/>
  <c r="J13" i="6"/>
  <c r="K13" i="6" s="1"/>
  <c r="J12" i="6"/>
  <c r="K12" i="6" s="1"/>
  <c r="J11" i="6"/>
  <c r="K11" i="6" s="1"/>
  <c r="J10" i="6"/>
  <c r="K10" i="6" s="1"/>
  <c r="J9" i="6"/>
  <c r="K9" i="6" s="1"/>
  <c r="J8" i="6"/>
  <c r="K8" i="6" s="1"/>
  <c r="J7" i="6"/>
  <c r="K7" i="6" s="1"/>
  <c r="J6" i="6"/>
  <c r="K6" i="6" s="1"/>
  <c r="J5" i="6"/>
  <c r="K5" i="6" s="1"/>
  <c r="E192" i="6" l="1"/>
  <c r="E17" i="5"/>
  <c r="H10" i="5"/>
  <c r="I10" i="5" s="1"/>
  <c r="J10" i="11"/>
  <c r="K10" i="11" s="1"/>
  <c r="J18" i="12"/>
  <c r="K18" i="12" s="1"/>
  <c r="J17" i="12"/>
  <c r="K17" i="12" s="1"/>
  <c r="J16" i="12"/>
  <c r="K16" i="12" s="1"/>
  <c r="J15" i="12"/>
  <c r="K15" i="12" s="1"/>
  <c r="J14" i="12"/>
  <c r="K14" i="12" s="1"/>
  <c r="J13" i="12"/>
  <c r="K13" i="12" s="1"/>
  <c r="J12" i="12"/>
  <c r="K12" i="12" s="1"/>
  <c r="J11" i="12"/>
  <c r="K11" i="12" s="1"/>
  <c r="J10" i="12"/>
  <c r="K10" i="12" s="1"/>
  <c r="J9" i="12"/>
  <c r="K9" i="12" s="1"/>
  <c r="J8" i="12"/>
  <c r="K8" i="12" s="1"/>
  <c r="J7" i="12"/>
  <c r="K7" i="12" s="1"/>
  <c r="J6" i="12"/>
  <c r="K6" i="12" s="1"/>
  <c r="J5" i="12"/>
  <c r="K5" i="12" s="1"/>
  <c r="E9" i="16" l="1"/>
  <c r="K7" i="16"/>
  <c r="J6" i="16"/>
  <c r="K6" i="16" s="1"/>
  <c r="J14" i="15" l="1"/>
  <c r="J76" i="15"/>
  <c r="J75" i="15"/>
  <c r="J74" i="15"/>
  <c r="J67" i="15"/>
  <c r="J66" i="15"/>
  <c r="J41" i="15"/>
  <c r="J40" i="15"/>
  <c r="J23" i="15"/>
  <c r="J21" i="15"/>
  <c r="J19" i="15"/>
  <c r="J7" i="9" l="1"/>
  <c r="K7" i="9" s="1"/>
  <c r="J6" i="9"/>
  <c r="K6" i="9" s="1"/>
  <c r="H7" i="5" l="1"/>
  <c r="I7" i="5" s="1"/>
  <c r="H6" i="5"/>
  <c r="I6" i="5" s="1"/>
  <c r="F5" i="5" l="1"/>
  <c r="E32" i="18" l="1"/>
  <c r="K6" i="7" l="1"/>
  <c r="J36" i="7"/>
  <c r="J18" i="7"/>
  <c r="K18" i="7" s="1"/>
  <c r="J17" i="7"/>
  <c r="K17" i="7" s="1"/>
  <c r="J96" i="15" l="1"/>
  <c r="K96" i="15" s="1"/>
  <c r="K95" i="15"/>
  <c r="K94" i="15"/>
  <c r="J16" i="9"/>
  <c r="K16" i="9" s="1"/>
  <c r="E99" i="15" l="1"/>
  <c r="K9" i="8"/>
  <c r="J9" i="8"/>
  <c r="J6" i="11" l="1"/>
  <c r="K6" i="11" s="1"/>
  <c r="E14" i="18"/>
  <c r="E39" i="18"/>
  <c r="E16" i="10"/>
  <c r="E18" i="10"/>
  <c r="E19" i="10"/>
  <c r="J11" i="10"/>
  <c r="K11" i="10"/>
  <c r="J12" i="10"/>
  <c r="K12" i="10"/>
  <c r="J14" i="10"/>
  <c r="K14" i="10" s="1"/>
  <c r="J13" i="10"/>
  <c r="K13" i="10" s="1"/>
  <c r="J8" i="10"/>
  <c r="K8" i="10"/>
  <c r="J11" i="9" l="1"/>
  <c r="K11" i="9" s="1"/>
  <c r="J10" i="9"/>
  <c r="K10" i="9" s="1"/>
  <c r="J5" i="9"/>
  <c r="J5" i="8"/>
  <c r="H15" i="18" l="1"/>
  <c r="H5" i="18"/>
  <c r="F12" i="11"/>
  <c r="E26" i="18" s="1"/>
  <c r="E16" i="18"/>
  <c r="E14" i="5"/>
  <c r="E18" i="18" s="1"/>
  <c r="H8" i="18" s="1"/>
  <c r="E11" i="18"/>
  <c r="E10" i="18"/>
  <c r="J10" i="10"/>
  <c r="K10" i="10" s="1"/>
  <c r="E40" i="18" s="1"/>
  <c r="K9" i="10"/>
  <c r="J7" i="10"/>
  <c r="K7" i="10" s="1"/>
  <c r="J5" i="10"/>
  <c r="K5" i="10" s="1"/>
  <c r="E17" i="10" s="1"/>
  <c r="E38" i="18" s="1"/>
  <c r="J18" i="9"/>
  <c r="K18" i="9" s="1"/>
  <c r="J17" i="9"/>
  <c r="K17" i="9" s="1"/>
  <c r="J15" i="9"/>
  <c r="K15" i="9" s="1"/>
  <c r="J14" i="9"/>
  <c r="K14" i="9" s="1"/>
  <c r="J13" i="9"/>
  <c r="K13" i="9" s="1"/>
  <c r="J12" i="9"/>
  <c r="K12" i="9" s="1"/>
  <c r="J9" i="9"/>
  <c r="K9" i="9" s="1"/>
  <c r="J8" i="9"/>
  <c r="K8" i="9" s="1"/>
  <c r="K5" i="9"/>
  <c r="K8" i="8"/>
  <c r="J8" i="8"/>
  <c r="K6" i="8"/>
  <c r="J6" i="8"/>
  <c r="K5" i="8"/>
  <c r="E10" i="8" s="1"/>
  <c r="E33" i="18" s="1"/>
  <c r="H16" i="18" s="1"/>
  <c r="F20" i="12"/>
  <c r="J40" i="7"/>
  <c r="K40" i="7" s="1"/>
  <c r="J39" i="7"/>
  <c r="K39" i="7" s="1"/>
  <c r="J38" i="7"/>
  <c r="K38" i="7" s="1"/>
  <c r="J37" i="7"/>
  <c r="K37" i="7" s="1"/>
  <c r="K36" i="7"/>
  <c r="J35" i="7"/>
  <c r="K35" i="7" s="1"/>
  <c r="J34" i="7"/>
  <c r="K34" i="7" s="1"/>
  <c r="J33" i="7"/>
  <c r="K33" i="7" s="1"/>
  <c r="J32" i="7"/>
  <c r="K32" i="7" s="1"/>
  <c r="J31" i="7"/>
  <c r="K31" i="7" s="1"/>
  <c r="J30" i="7"/>
  <c r="K30" i="7" s="1"/>
  <c r="J29" i="7"/>
  <c r="K29" i="7" s="1"/>
  <c r="J28" i="7"/>
  <c r="K28" i="7" s="1"/>
  <c r="J27" i="7"/>
  <c r="K27" i="7" s="1"/>
  <c r="J26" i="7"/>
  <c r="K26" i="7" s="1"/>
  <c r="J25" i="7"/>
  <c r="K25" i="7" s="1"/>
  <c r="J24" i="7"/>
  <c r="K24" i="7" s="1"/>
  <c r="J23" i="7"/>
  <c r="K23" i="7" s="1"/>
  <c r="J22" i="7"/>
  <c r="K22" i="7" s="1"/>
  <c r="J21" i="7"/>
  <c r="K21" i="7" s="1"/>
  <c r="J20" i="7"/>
  <c r="K20" i="7" s="1"/>
  <c r="J19" i="7"/>
  <c r="K19" i="7" s="1"/>
  <c r="J16" i="7"/>
  <c r="K16" i="7" s="1"/>
  <c r="J15" i="7"/>
  <c r="K15" i="7" s="1"/>
  <c r="J14" i="7"/>
  <c r="K14" i="7" s="1"/>
  <c r="J13" i="7"/>
  <c r="K13" i="7" s="1"/>
  <c r="J12" i="7"/>
  <c r="K12" i="7" s="1"/>
  <c r="J11" i="7"/>
  <c r="K11" i="7" s="1"/>
  <c r="J10" i="7"/>
  <c r="K10" i="7" s="1"/>
  <c r="J8" i="7"/>
  <c r="K8" i="7" s="1"/>
  <c r="J7" i="7"/>
  <c r="K7" i="7" s="1"/>
  <c r="K5" i="7"/>
  <c r="J9" i="11"/>
  <c r="K9" i="11" s="1"/>
  <c r="K8" i="11"/>
  <c r="J7" i="11"/>
  <c r="K7" i="11" s="1"/>
  <c r="K5" i="11"/>
  <c r="J5" i="13"/>
  <c r="K5" i="13" s="1"/>
  <c r="E7" i="18"/>
  <c r="J93" i="15"/>
  <c r="K93" i="15" s="1"/>
  <c r="K91" i="15"/>
  <c r="J90" i="15"/>
  <c r="K90" i="15" s="1"/>
  <c r="J89" i="15"/>
  <c r="K89" i="15" s="1"/>
  <c r="J88" i="15"/>
  <c r="K88" i="15" s="1"/>
  <c r="J87" i="15"/>
  <c r="K87" i="15" s="1"/>
  <c r="J86" i="15"/>
  <c r="K86" i="15" s="1"/>
  <c r="J85" i="15"/>
  <c r="K85" i="15" s="1"/>
  <c r="J84" i="15"/>
  <c r="K84" i="15" s="1"/>
  <c r="J83" i="15"/>
  <c r="K83" i="15" s="1"/>
  <c r="J82" i="15"/>
  <c r="K82" i="15" s="1"/>
  <c r="J81" i="15"/>
  <c r="K81" i="15" s="1"/>
  <c r="K80" i="15"/>
  <c r="K79" i="15"/>
  <c r="K78" i="15"/>
  <c r="K77" i="15"/>
  <c r="K76" i="15"/>
  <c r="K75" i="15"/>
  <c r="K74" i="15"/>
  <c r="J73" i="15"/>
  <c r="K73" i="15" s="1"/>
  <c r="K72" i="15"/>
  <c r="J71" i="15"/>
  <c r="K71" i="15" s="1"/>
  <c r="J70" i="15"/>
  <c r="K70" i="15" s="1"/>
  <c r="J69" i="15"/>
  <c r="K69" i="15" s="1"/>
  <c r="J68" i="15"/>
  <c r="K68" i="15" s="1"/>
  <c r="K67" i="15"/>
  <c r="K66" i="15"/>
  <c r="J65" i="15"/>
  <c r="K65" i="15" s="1"/>
  <c r="J64" i="15"/>
  <c r="K64" i="15" s="1"/>
  <c r="J63" i="15"/>
  <c r="K63" i="15" s="1"/>
  <c r="J62" i="15"/>
  <c r="K62" i="15" s="1"/>
  <c r="J61" i="15"/>
  <c r="K61" i="15" s="1"/>
  <c r="J60" i="15"/>
  <c r="K60" i="15" s="1"/>
  <c r="J59" i="15"/>
  <c r="K59" i="15" s="1"/>
  <c r="J58" i="15"/>
  <c r="K58" i="15" s="1"/>
  <c r="J57" i="15"/>
  <c r="K57" i="15" s="1"/>
  <c r="J56" i="15"/>
  <c r="K56" i="15" s="1"/>
  <c r="K55" i="15"/>
  <c r="K54" i="15"/>
  <c r="K53" i="15"/>
  <c r="K52" i="15"/>
  <c r="J51" i="15"/>
  <c r="K51" i="15" s="1"/>
  <c r="K50" i="15"/>
  <c r="J49" i="15"/>
  <c r="K49" i="15" s="1"/>
  <c r="J48" i="15"/>
  <c r="K48" i="15" s="1"/>
  <c r="K47" i="15"/>
  <c r="K46" i="15"/>
  <c r="K45" i="15"/>
  <c r="K44" i="15"/>
  <c r="J43" i="15"/>
  <c r="K43" i="15" s="1"/>
  <c r="K42" i="15"/>
  <c r="K41" i="15"/>
  <c r="K40" i="15"/>
  <c r="K39" i="15"/>
  <c r="K38" i="15"/>
  <c r="K37" i="15"/>
  <c r="J36" i="15"/>
  <c r="K36" i="15" s="1"/>
  <c r="K35" i="15"/>
  <c r="J34" i="15"/>
  <c r="K34" i="15" s="1"/>
  <c r="J33" i="15"/>
  <c r="K33" i="15" s="1"/>
  <c r="K32" i="15"/>
  <c r="K31" i="15"/>
  <c r="K30" i="15"/>
  <c r="K29" i="15"/>
  <c r="K28" i="15"/>
  <c r="K27" i="15"/>
  <c r="K26" i="15"/>
  <c r="J25" i="15"/>
  <c r="K25" i="15" s="1"/>
  <c r="J24" i="15"/>
  <c r="K24" i="15" s="1"/>
  <c r="K23" i="15"/>
  <c r="J22" i="15"/>
  <c r="K22" i="15" s="1"/>
  <c r="K21" i="15"/>
  <c r="J20" i="15"/>
  <c r="K20" i="15" s="1"/>
  <c r="K19" i="15"/>
  <c r="K18" i="15"/>
  <c r="J17" i="15"/>
  <c r="K17" i="15" s="1"/>
  <c r="J16" i="15"/>
  <c r="K16" i="15" s="1"/>
  <c r="J15" i="15"/>
  <c r="K15" i="15" s="1"/>
  <c r="K14" i="15"/>
  <c r="J13" i="15"/>
  <c r="K13" i="15" s="1"/>
  <c r="K12" i="15"/>
  <c r="K11" i="15"/>
  <c r="J10" i="15"/>
  <c r="K10" i="15" s="1"/>
  <c r="J9" i="15"/>
  <c r="K9" i="15" s="1"/>
  <c r="J8" i="15"/>
  <c r="K8" i="15" s="1"/>
  <c r="J7" i="15"/>
  <c r="K7" i="15" s="1"/>
  <c r="J6" i="15"/>
  <c r="K6" i="15" s="1"/>
  <c r="F13" i="11" l="1"/>
  <c r="E9" i="18"/>
  <c r="H4" i="18" s="1"/>
  <c r="E31" i="18"/>
  <c r="H14" i="18" s="1"/>
  <c r="E20" i="9"/>
  <c r="E27" i="18"/>
  <c r="E25" i="18" s="1"/>
  <c r="E37" i="18"/>
  <c r="E35" i="18"/>
  <c r="E23" i="18"/>
  <c r="H12" i="18" s="1"/>
  <c r="F7" i="13"/>
  <c r="H6" i="18" s="1"/>
  <c r="E6" i="18"/>
  <c r="E5" i="18" s="1"/>
  <c r="H3" i="18" s="1"/>
  <c r="H9" i="5"/>
  <c r="I9" i="5" s="1"/>
  <c r="E21" i="18" s="1"/>
  <c r="H11" i="18" s="1"/>
  <c r="H8" i="5"/>
  <c r="I8" i="5" s="1"/>
  <c r="E16" i="5" s="1"/>
  <c r="E20" i="18" s="1"/>
  <c r="H10" i="18" s="1"/>
  <c r="E15" i="5"/>
  <c r="E19" i="18" s="1"/>
  <c r="H9" i="18" s="1"/>
  <c r="H5" i="5"/>
  <c r="E15" i="18"/>
  <c r="E24" i="18" l="1"/>
  <c r="H13" i="18" s="1"/>
  <c r="E34" i="18"/>
  <c r="H17" i="18" s="1"/>
  <c r="I5" i="5"/>
  <c r="E13" i="5" s="1"/>
  <c r="E17" i="18" s="1"/>
  <c r="H7" i="18" s="1"/>
  <c r="H18" i="18" l="1"/>
</calcChain>
</file>

<file path=xl/sharedStrings.xml><?xml version="1.0" encoding="utf-8"?>
<sst xmlns="http://schemas.openxmlformats.org/spreadsheetml/2006/main" count="2795" uniqueCount="1188">
  <si>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</si>
  <si>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</si>
  <si>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</si>
  <si>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</si>
  <si>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</si>
  <si>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</si>
  <si>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</si>
  <si>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</si>
  <si>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</si>
  <si>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</si>
  <si>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</si>
  <si>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</si>
  <si>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</si>
  <si>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</si>
  <si>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</si>
  <si>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</si>
  <si>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</si>
  <si>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</si>
  <si>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</si>
  <si>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</si>
  <si>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</si>
  <si>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</si>
  <si>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</si>
  <si>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</si>
  <si>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</si>
  <si>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</si>
  <si>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</si>
  <si>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</si>
  <si>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</si>
  <si>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</si>
  <si>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</si>
  <si>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</si>
  <si>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</si>
  <si>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</si>
  <si>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</si>
  <si>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</si>
  <si>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</si>
  <si>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</si>
  <si>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</si>
  <si>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</si>
  <si>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</si>
  <si>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</si>
  <si>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</si>
  <si>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</si>
  <si>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Telephone line rental</t>
  </si>
  <si>
    <t>C: Clothing and footwear</t>
  </si>
  <si>
    <t>Weekly cost £</t>
  </si>
  <si>
    <t xml:space="preserve">Shopping List </t>
  </si>
  <si>
    <t>C</t>
  </si>
  <si>
    <t>Sports Direct</t>
  </si>
  <si>
    <t>Asda</t>
  </si>
  <si>
    <t>Accessories</t>
  </si>
  <si>
    <t>Amazon</t>
  </si>
  <si>
    <t>D: Housing costs</t>
  </si>
  <si>
    <t>D3</t>
  </si>
  <si>
    <t>Water rates</t>
  </si>
  <si>
    <t>D4</t>
  </si>
  <si>
    <t>N/A</t>
  </si>
  <si>
    <t>Council tax</t>
  </si>
  <si>
    <t>D5</t>
  </si>
  <si>
    <t>Insurance</t>
  </si>
  <si>
    <t>D6</t>
  </si>
  <si>
    <t>Fuel</t>
  </si>
  <si>
    <t>D7</t>
  </si>
  <si>
    <t>House maintenance</t>
  </si>
  <si>
    <t>Decorating and other house maintenance</t>
  </si>
  <si>
    <t>SFP</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</si>
  <si>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</si>
  <si>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</si>
  <si>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</si>
  <si>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</si>
  <si>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</si>
  <si>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</si>
  <si>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</si>
  <si>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</si>
  <si>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</si>
  <si>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</si>
  <si>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</si>
  <si>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</si>
  <si>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Sofa (2 seater)</t>
  </si>
  <si>
    <t>Cushions</t>
  </si>
  <si>
    <t>Storage unit</t>
  </si>
  <si>
    <t>Bin</t>
  </si>
  <si>
    <t>B&amp;Q</t>
  </si>
  <si>
    <t>Personalisation</t>
  </si>
  <si>
    <t>Dining area</t>
  </si>
  <si>
    <t>Tablemats</t>
  </si>
  <si>
    <t>Coasters</t>
  </si>
  <si>
    <t>Kitchen</t>
  </si>
  <si>
    <t>Blind</t>
  </si>
  <si>
    <t>Argos Home Blackout Insulating Roller Blind - 4ft - White. W120cm x D160cm</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</si>
  <si>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</si>
  <si>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</si>
  <si>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</si>
  <si>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</si>
  <si>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</si>
  <si>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</si>
  <si>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</si>
  <si>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</si>
  <si>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</si>
  <si>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</si>
  <si>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</si>
  <si>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</si>
  <si>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</si>
  <si>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</si>
  <si>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</si>
  <si>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</si>
  <si>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</si>
  <si>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</si>
  <si>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</si>
  <si>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Frying pan</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</si>
  <si>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</si>
  <si>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</si>
  <si>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</si>
  <si>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</si>
  <si>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</si>
  <si>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</si>
  <si>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</si>
  <si>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</si>
  <si>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</si>
  <si>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</si>
  <si>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</si>
  <si>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</si>
  <si>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</si>
  <si>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</si>
  <si>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</si>
  <si>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</si>
  <si>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</si>
  <si>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</si>
  <si>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</si>
  <si>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</si>
  <si>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</si>
  <si>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</si>
  <si>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</si>
  <si>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</si>
  <si>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</si>
  <si>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</si>
  <si>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</si>
  <si>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</si>
  <si>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VAX Mach Air Revive UCA2GEV1 Upright Bagless Vacuum Cleaner - Grey &amp; Red</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</si>
  <si>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</si>
  <si>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</si>
  <si>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</si>
  <si>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</si>
  <si>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</si>
  <si>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</si>
  <si>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</si>
  <si>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</si>
  <si>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</si>
  <si>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</si>
  <si>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</si>
  <si>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</si>
  <si>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</si>
  <si>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</si>
  <si>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</si>
  <si>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</si>
  <si>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</si>
  <si>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</si>
  <si>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</si>
  <si>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</si>
  <si>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</si>
  <si>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</si>
  <si>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</si>
  <si>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</si>
  <si>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</si>
  <si>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</si>
  <si>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</si>
  <si>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</si>
  <si>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Bed, double</t>
  </si>
  <si>
    <t>Mattress, double</t>
  </si>
  <si>
    <t>Dreams</t>
  </si>
  <si>
    <t>Mattress protector</t>
  </si>
  <si>
    <t>Wardrobe</t>
  </si>
  <si>
    <t>Drawers</t>
  </si>
  <si>
    <t>Bedside table</t>
  </si>
  <si>
    <t>Lamp</t>
  </si>
  <si>
    <t xml:space="preserve">Duvet </t>
  </si>
  <si>
    <t>Pillows</t>
  </si>
  <si>
    <t>Sheets, fitted</t>
  </si>
  <si>
    <t>Duvet covers</t>
  </si>
  <si>
    <t>Pillow cases</t>
  </si>
  <si>
    <t>George Home White Brushed Cotton Pillowcase Pair</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</si>
  <si>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</si>
  <si>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</si>
  <si>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</si>
  <si>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</si>
  <si>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</si>
  <si>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</si>
  <si>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</si>
  <si>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</si>
  <si>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</si>
  <si>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</si>
  <si>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Side tables</t>
  </si>
  <si>
    <t xml:space="preserve">Nested side tables. Not flat pack. From Dunelm/The Range/B&amp;Q. Lasting 20 years (matching with bookcase). CB4 changed to cheaper side tables in line with Ppens. </t>
  </si>
  <si>
    <t>Argos Home Gloucester Nest of 3 Solid Wood Tables - Natural</t>
  </si>
  <si>
    <t>Bookcase</t>
  </si>
  <si>
    <t>Argos Home Hartland Short Bookcase - Light Wood</t>
  </si>
  <si>
    <t>Corona Pine Sideboard. H81cm x W100cm x D43cm</t>
  </si>
  <si>
    <t>Table lamp</t>
  </si>
  <si>
    <t>Floor lamp</t>
  </si>
  <si>
    <t>Dining table</t>
  </si>
  <si>
    <t>Cheap roller blind from B&amp;Q/Argos/Dunelm. Lasting 10 years. CB3 reduced lifetime to 5 years</t>
  </si>
  <si>
    <t>George Home Basic White Dinner Set. Each set includes 4x plates, side plates and bowls.</t>
  </si>
  <si>
    <t>George Home Simply White Mug Pack (4pce)</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</si>
  <si>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</si>
  <si>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</si>
  <si>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</si>
  <si>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</si>
  <si>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</si>
  <si>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</si>
  <si>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</si>
  <si>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</si>
  <si>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AO</t>
  </si>
  <si>
    <t>Electra ECFF165WE 50/50 Frost Free Fridge Freezer - White - F Rated</t>
  </si>
  <si>
    <t>Indesit Cloe IS5V4KHW 50cm Electric Cooker with Ceramic Hob - White - A Rated</t>
  </si>
  <si>
    <t>Currys</t>
  </si>
  <si>
    <t>George Home Grey textured 2 Slice Toaster</t>
  </si>
  <si>
    <t>George Home Grey Textured Fast Boil Kettle</t>
  </si>
  <si>
    <t>Slow cooker</t>
  </si>
  <si>
    <t>Tefal Delight Non-stick Pan Set. Set Consists of 14cm Milkpan, 16/18cm Saucepans with Lids, 20/24cm Frying Pans</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</si>
  <si>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</si>
  <si>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</si>
  <si>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</si>
  <si>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</si>
  <si>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</si>
  <si>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</si>
  <si>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</si>
  <si>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</si>
  <si>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</si>
  <si>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</si>
  <si>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</si>
  <si>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</si>
  <si>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</si>
  <si>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</si>
  <si>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</si>
  <si>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</si>
  <si>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</si>
  <si>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</si>
  <si>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</si>
  <si>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</si>
  <si>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</si>
  <si>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</si>
  <si>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</si>
  <si>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</si>
  <si>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</si>
  <si>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</si>
  <si>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</si>
  <si>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</si>
  <si>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Tontarelli 25 Litre Swing Top Bin - Black</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</si>
  <si>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</si>
  <si>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</si>
  <si>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</si>
  <si>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</si>
  <si>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</si>
  <si>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</si>
  <si>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</si>
  <si>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</si>
  <si>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</si>
  <si>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</si>
  <si>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</si>
  <si>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</si>
  <si>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</si>
  <si>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</si>
  <si>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</si>
  <si>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</si>
  <si>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</si>
  <si>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</si>
  <si>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</si>
  <si>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</si>
  <si>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</si>
  <si>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</si>
  <si>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</si>
  <si>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</si>
  <si>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</si>
  <si>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</si>
  <si>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</si>
  <si>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</si>
  <si>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</si>
  <si>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</si>
  <si>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</si>
  <si>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</si>
  <si>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</si>
  <si>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</si>
  <si>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</si>
  <si>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</si>
  <si>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</si>
  <si>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</si>
  <si>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</si>
  <si>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</si>
  <si>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</si>
  <si>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</si>
  <si>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</si>
  <si>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</si>
  <si>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</si>
  <si>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</si>
  <si>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</si>
  <si>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</si>
  <si>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</si>
  <si>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</si>
  <si>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</si>
  <si>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Aida White Mirrored Cabinet (W)370mm (H)465mm</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</si>
  <si>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</si>
  <si>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</si>
  <si>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</si>
  <si>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</si>
  <si>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</si>
  <si>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</si>
  <si>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</si>
  <si>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</si>
  <si>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</si>
  <si>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</si>
  <si>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</si>
  <si>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</si>
  <si>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</si>
  <si>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</si>
  <si>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</si>
  <si>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</si>
  <si>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</si>
  <si>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</si>
  <si>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</si>
  <si>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</si>
  <si>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Classic Divan Base - Double with 4 drawers</t>
  </si>
  <si>
    <t>Headboard</t>
  </si>
  <si>
    <t>Classic Fairfield Headboard</t>
  </si>
  <si>
    <t>Silentnight Heaton Pocket Sprung Mattress</t>
  </si>
  <si>
    <t>Ashdown 2 Door 2 Drawer Mirror Wardrobe - White (fully assembled)</t>
  </si>
  <si>
    <t>Ashdown 5 Drawer Chest - White (fully assembled)</t>
  </si>
  <si>
    <t>Ashdown 3 Drawer Bedside Table - White (fully assembled)</t>
  </si>
  <si>
    <t>Mirror</t>
  </si>
  <si>
    <t>Essentials Full Length Mirror 122x32cm Black</t>
  </si>
  <si>
    <t>Wilko Cream Milan Table Lamp</t>
  </si>
  <si>
    <t>Chair</t>
  </si>
  <si>
    <t>Astrid Chair</t>
  </si>
  <si>
    <t>All Seasons Combi Duvet. Comes with 4.5 and 10.5 tog duvets which clip together to make 15 tog.</t>
  </si>
  <si>
    <t>Duvet</t>
  </si>
  <si>
    <t>Wilko Washable Supersoft 10.5 Tog Double Duvet</t>
  </si>
  <si>
    <t>Fogarty Duck Feather and Down Medium-Support Pillow Pair</t>
  </si>
  <si>
    <t>White Brushed Cotton Fitted Sheet</t>
  </si>
  <si>
    <t>Sheets, flat</t>
  </si>
  <si>
    <t>White Luxury 100% Cotton Flat Sheet</t>
  </si>
  <si>
    <t>George Home Just Wellness White Tencel Duvet Set</t>
  </si>
  <si>
    <t>George Home Mattress Protector Double</t>
  </si>
  <si>
    <t>Pillow protectors</t>
  </si>
  <si>
    <t>Pillow Protector Pair</t>
  </si>
  <si>
    <t xml:space="preserve">Electric blanket </t>
  </si>
  <si>
    <t>Silentnight Comfort Control Electric Blanket</t>
  </si>
  <si>
    <t>Carpet</t>
  </si>
  <si>
    <t>Carpetright</t>
  </si>
  <si>
    <t>Garden</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</si>
  <si>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</si>
  <si>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</si>
  <si>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</si>
  <si>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</si>
  <si>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</si>
  <si>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</si>
  <si>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</si>
  <si>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</si>
  <si>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</si>
  <si>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</si>
  <si>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</si>
  <si>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</si>
  <si>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</si>
  <si>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</si>
  <si>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</si>
  <si>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</si>
  <si>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</si>
  <si>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</si>
  <si>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Razor</t>
  </si>
  <si>
    <t>Toothpaste</t>
  </si>
  <si>
    <t>Toothbrush</t>
  </si>
  <si>
    <t>Sun cream</t>
  </si>
  <si>
    <t>Deodorant</t>
  </si>
  <si>
    <t>Shampoo</t>
  </si>
  <si>
    <t>Liquid soap</t>
  </si>
  <si>
    <t>Personal care, female</t>
  </si>
  <si>
    <t>Hairdressing, female</t>
  </si>
  <si>
    <t>Boots</t>
  </si>
  <si>
    <t xml:space="preserve">Hairdryer, Boots brand e.g Charles Worthington, 12 years. CB3 changed lifetime to 10 years. </t>
  </si>
  <si>
    <t xml:space="preserve">Remington Power Dry Hairdryer D3010 </t>
  </si>
  <si>
    <t xml:space="preserve">Hand soap dispenser. Replaced monthly. CB3 said 1 for kitchen and 1 for bathroom. </t>
  </si>
  <si>
    <t>1 toilet roll per week. CB3 changed to 2 rolls per week.</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</si>
  <si>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</si>
  <si>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</si>
  <si>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</si>
  <si>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</si>
  <si>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</si>
  <si>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</si>
  <si>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</si>
  <si>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CB4 added shaving foam for women in line with men. Lifetime not discussed. 2 months for now in line with SMP. FG3 said 6 months</t>
  </si>
  <si>
    <t>Tesco Essentials Shaving Foam 250Ml</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</si>
  <si>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</si>
  <si>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</si>
  <si>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</si>
  <si>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</si>
  <si>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</si>
  <si>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</si>
  <si>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</si>
  <si>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</si>
  <si>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</si>
  <si>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</si>
  <si>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</si>
  <si>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</si>
  <si>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</si>
  <si>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</si>
  <si>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</si>
  <si>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</si>
  <si>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</si>
  <si>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</si>
  <si>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</si>
  <si>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</si>
  <si>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</si>
  <si>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</si>
  <si>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</si>
  <si>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</si>
  <si>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</si>
  <si>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</si>
  <si>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</si>
  <si>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</si>
  <si>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</si>
  <si>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</si>
  <si>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</si>
  <si>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</si>
  <si>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</si>
  <si>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</si>
  <si>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</si>
  <si>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</si>
  <si>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</si>
  <si>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</si>
  <si>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</si>
  <si>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</si>
  <si>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</si>
  <si>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</si>
  <si>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</si>
  <si>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</si>
  <si>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Suitcases</t>
  </si>
  <si>
    <t xml:space="preserve">1 large suitcase and 1 small suitcase on wheels. From supermarket or Argos. Cheapest okay. Lifetime not discussed. Set to 10 years for now. CB4 said 20 years </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</si>
  <si>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</si>
  <si>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</si>
  <si>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</si>
  <si>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</si>
  <si>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</si>
  <si>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</si>
  <si>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G: Transport</t>
  </si>
  <si>
    <t>Passenger transport by road</t>
  </si>
  <si>
    <t>Taxi fares</t>
  </si>
  <si>
    <t>Rail fares</t>
  </si>
  <si>
    <t>G</t>
  </si>
  <si>
    <t>Passenger transport by railway</t>
  </si>
  <si>
    <t>Bus Pass</t>
  </si>
  <si>
    <t>Free bus pass</t>
  </si>
  <si>
    <t>Rail card</t>
  </si>
  <si>
    <t>National Rail</t>
  </si>
  <si>
    <t>Senior Railcard. £70 for 3 years (all rail fares a third off)</t>
  </si>
  <si>
    <t>Senior Rail Card (3 years)</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</si>
  <si>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</si>
  <si>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</si>
  <si>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</si>
  <si>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</si>
  <si>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</si>
  <si>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</si>
  <si>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</si>
  <si>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</si>
  <si>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</si>
  <si>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</si>
  <si>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</si>
  <si>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</si>
  <si>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</si>
  <si>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</si>
  <si>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</si>
  <si>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</si>
  <si>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</si>
  <si>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</si>
  <si>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</si>
  <si>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</si>
  <si>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H3</t>
  </si>
  <si>
    <t>Internet</t>
  </si>
  <si>
    <t>Entertainment and recreation</t>
  </si>
  <si>
    <t>TV subscription</t>
  </si>
  <si>
    <t>Netflix</t>
  </si>
  <si>
    <t>£6.99 per month for basic Netflix account. Includes Netflix for 1 screen at a time and downloads for one phone or tablet device. Unlimited films, TV programmes and mobile games.</t>
  </si>
  <si>
    <t>Activities</t>
  </si>
  <si>
    <t>H6</t>
  </si>
  <si>
    <t>UK Holidays</t>
  </si>
  <si>
    <t>Holiday- spending money</t>
  </si>
  <si>
    <t>Leisure services</t>
  </si>
  <si>
    <t>Passport</t>
  </si>
  <si>
    <t>TV Subscription</t>
  </si>
  <si>
    <t>Holiday</t>
  </si>
  <si>
    <t xml:space="preserve">Costed as paper application from the post office </t>
  </si>
  <si>
    <t>Photographs</t>
  </si>
  <si>
    <t>Landline telephone</t>
  </si>
  <si>
    <t>Cheapest contract smartphone.</t>
  </si>
  <si>
    <t>Opticians- check up</t>
  </si>
  <si>
    <t xml:space="preserve">Eye test every 2 years. </t>
  </si>
  <si>
    <t xml:space="preserve">Free NHS eye tests for people aged 60 and over. </t>
  </si>
  <si>
    <t>Entry-level varifocal glasses every 2 years. CB4 changed in line with Ppens: £200 for varifocal glasses every 2 years</t>
  </si>
  <si>
    <t>Specsavers - varifocals start from £39 (if selecting frames £69-£169 plus varifocal lenses from £49 then get second pair for free so total £118). A budget of £200 would give the Ppens more choice.</t>
  </si>
  <si>
    <t>Two check ups per year with NHS dentist</t>
  </si>
  <si>
    <t>Treatment to cover cost of dentures. Every 5 years.</t>
  </si>
  <si>
    <t>Band 3 (£282.80). includes bridges, crowns, dentures, inlays/onlays, non-cosmetic veneers.</t>
  </si>
  <si>
    <t>Podiatry</t>
  </si>
  <si>
    <t xml:space="preserve">Budget of £25 every 2 months. CB4 changed to £30 every 2 months </t>
  </si>
  <si>
    <t>From Boots/Wilko/supermarket/Superdrug. 1 pack of 16 per month. Fg3 changed to 1 pack, 8 weeks</t>
  </si>
  <si>
    <t>Cough mixture</t>
  </si>
  <si>
    <t xml:space="preserve">1 bottle replaced yearly. </t>
  </si>
  <si>
    <t>Tesco Health+ Chesty Cough Relief 300Ml</t>
  </si>
  <si>
    <t>1 box a year.</t>
  </si>
  <si>
    <t>Eye wash</t>
  </si>
  <si>
    <t>Optrex eye wash to bathe eyes, 6 months</t>
  </si>
  <si>
    <t>Optrex Multi Action Eye Wash 100Ml</t>
  </si>
  <si>
    <t>Eye drops</t>
  </si>
  <si>
    <t xml:space="preserve">Optrex eye drops for dry eyes. Replaced monthly. </t>
  </si>
  <si>
    <t>Optrex Refreshing Eye Drops 10ml</t>
  </si>
  <si>
    <t>Savlon, replace yearly.</t>
  </si>
  <si>
    <t xml:space="preserve">Replaced every 2 years. From Boots/Wilko. CB3 changed lifetime to 5 years. </t>
  </si>
  <si>
    <t>Replaced every 2 years. From Boots/Wilko</t>
  </si>
  <si>
    <t>Thermometer</t>
  </si>
  <si>
    <t>Digital thermometer. From Boots/Wilko/supermarket/Superdrug. Lasting 10 years.</t>
  </si>
  <si>
    <t>Superdrug Flexi Tip Digital Thermometer</t>
  </si>
  <si>
    <t>A1</t>
  </si>
  <si>
    <t>Tea bags</t>
  </si>
  <si>
    <t>28 tea bags + 7 for visitors</t>
  </si>
  <si>
    <t>Coffee, instant</t>
  </si>
  <si>
    <t>200g</t>
  </si>
  <si>
    <t>7 tsp (35 g)</t>
  </si>
  <si>
    <t>Milk, semi skimmed</t>
  </si>
  <si>
    <t>2.272l</t>
  </si>
  <si>
    <t>1803 ml + 210ml for visitors = 2013ml</t>
  </si>
  <si>
    <t>Tesco British Semi Skimmed Milk 2.272L 4 Pints</t>
  </si>
  <si>
    <t>Squash, no sugar, concentrate</t>
  </si>
  <si>
    <t>1.5l</t>
  </si>
  <si>
    <t>385 ml (7 x 55ml)</t>
  </si>
  <si>
    <t>Orange Juice, made from concentrate</t>
  </si>
  <si>
    <t>1l</t>
  </si>
  <si>
    <t>1120 ml</t>
  </si>
  <si>
    <t>Tesco Pure Orange Juice Smooth 1 Litre</t>
  </si>
  <si>
    <t>Wholemeal bread roll</t>
  </si>
  <si>
    <t>Warburtons</t>
  </si>
  <si>
    <t>1 x 55 g roll</t>
  </si>
  <si>
    <t>Warburtons Wholemeal Rolls 6 Pack (56g each) freeze remainder</t>
  </si>
  <si>
    <t>Other high fibre breakfast cereals</t>
  </si>
  <si>
    <t>Weetabix</t>
  </si>
  <si>
    <t>4 x 20 g (80 g)</t>
  </si>
  <si>
    <t>Bread, Best of both, wholemeal</t>
  </si>
  <si>
    <t>8 slices (296 g)</t>
  </si>
  <si>
    <t>Porridge Oats, uncooked</t>
  </si>
  <si>
    <t>54 g (220 g / 4.1 cooking adjustment)</t>
  </si>
  <si>
    <t>Yogurt, low fat, fruity</t>
  </si>
  <si>
    <t>Creamfields</t>
  </si>
  <si>
    <t>3 x 125 g pots</t>
  </si>
  <si>
    <t>Creamfields Berry Medley Low Fat Yogurt 6X125g</t>
  </si>
  <si>
    <t>Eggs, raw</t>
  </si>
  <si>
    <t>6 large eggs</t>
  </si>
  <si>
    <t>Tesco Large Free Range Eggs 12 Pack</t>
  </si>
  <si>
    <t>Sausage, pork, raw weight</t>
  </si>
  <si>
    <t>1 thin (32 g)</t>
  </si>
  <si>
    <t>Baked Beans</t>
  </si>
  <si>
    <t>220g</t>
  </si>
  <si>
    <t>144 g</t>
  </si>
  <si>
    <t>Tesco Baked Beans In Tomato Sauce 220G</t>
  </si>
  <si>
    <t>Bacon, back, raw weight</t>
  </si>
  <si>
    <t>1.5 rashers  (53 g)</t>
  </si>
  <si>
    <t>Olive oil</t>
  </si>
  <si>
    <t>7 Tbsp (105 ml) 91 g</t>
  </si>
  <si>
    <t>Tesco Olive Oil 1L</t>
  </si>
  <si>
    <t>Butter, light, reduced fat</t>
  </si>
  <si>
    <t>500g</t>
  </si>
  <si>
    <t>203 g</t>
  </si>
  <si>
    <t>Marmite</t>
  </si>
  <si>
    <t>125g</t>
  </si>
  <si>
    <t>16 g</t>
  </si>
  <si>
    <t>Marmite Yeast Extract 125G</t>
  </si>
  <si>
    <t>Marmalade</t>
  </si>
  <si>
    <t>30 g</t>
  </si>
  <si>
    <t>Plain digestives</t>
  </si>
  <si>
    <t>4 x 14 g (56 g) + 10 for visitors</t>
  </si>
  <si>
    <t>Tesco Digestive Biscuits 400G</t>
  </si>
  <si>
    <t>Satsumas,  weight with peel</t>
  </si>
  <si>
    <t>600g</t>
  </si>
  <si>
    <t>4 satsumas (340 g) 240 g/0.71 edible</t>
  </si>
  <si>
    <t>Banana, weight with peel</t>
  </si>
  <si>
    <t>1 medium banana (158 g)</t>
  </si>
  <si>
    <t xml:space="preserve">Loose Bananas 14p each </t>
  </si>
  <si>
    <t>Pears, weight with skin</t>
  </si>
  <si>
    <t>1 x 160 g (pears)</t>
  </si>
  <si>
    <t>Apples, whole weight</t>
  </si>
  <si>
    <t>3 medium apples (522 g)</t>
  </si>
  <si>
    <t>Cooking apple, whole weight</t>
  </si>
  <si>
    <t>2 medium apples (340 g)</t>
  </si>
  <si>
    <t>Tesco Bramley Cooking Apples Loose £2/kg/50p each</t>
  </si>
  <si>
    <t>Chicken pieces, roasted/ deli weight</t>
  </si>
  <si>
    <t>180g</t>
  </si>
  <si>
    <t>90 g</t>
  </si>
  <si>
    <t>Tesco Roast Sliced Chicken Breast 180G</t>
  </si>
  <si>
    <t>Chicken Breast, no skin, raw weight</t>
  </si>
  <si>
    <t>300g</t>
  </si>
  <si>
    <t>280 g</t>
  </si>
  <si>
    <t>Tesco 2 British Chicken Breast Fillets 300G</t>
  </si>
  <si>
    <t>Chicken thigh, weight with skin and bones, raw weight</t>
  </si>
  <si>
    <t>1kg</t>
  </si>
  <si>
    <t>150 g</t>
  </si>
  <si>
    <t xml:space="preserve">Tesco Chicken Thighs 1Kg (frozen) 5 servings </t>
  </si>
  <si>
    <t>Lamb mince, raw weight</t>
  </si>
  <si>
    <t>125 g</t>
  </si>
  <si>
    <t>Tesco British Lamb Mince 20% Fat 500G, freeze remainder</t>
  </si>
  <si>
    <t>Tuna, canned in spring water</t>
  </si>
  <si>
    <t>2 x 180 g (2x 130g drained weight)</t>
  </si>
  <si>
    <t>Sardines, canned in spring water</t>
  </si>
  <si>
    <t>Tesco Finest</t>
  </si>
  <si>
    <t>105g</t>
  </si>
  <si>
    <t>1 x 120 g tin</t>
  </si>
  <si>
    <t xml:space="preserve">Tesco Finest Sardines In Water 105G </t>
  </si>
  <si>
    <t>Beef mince, raw weight</t>
  </si>
  <si>
    <t>Tesco Beef Lean Steak Mince 500G 5% Fat, freeze remainder</t>
  </si>
  <si>
    <t>Pork loin chops, lean and fat, weight with bone</t>
  </si>
  <si>
    <t>147 g</t>
  </si>
  <si>
    <t>Cod, frozen (pack of 2 x 130g )</t>
  </si>
  <si>
    <t>360g</t>
  </si>
  <si>
    <t xml:space="preserve">1 x 130 g Fillet (130 g) </t>
  </si>
  <si>
    <t>Tesco Cod Fillets 360G</t>
  </si>
  <si>
    <t>Pizza, Pollo, chicken and pepper</t>
  </si>
  <si>
    <t>303g</t>
  </si>
  <si>
    <t>1 x 280 g pizza</t>
  </si>
  <si>
    <t>Cheese, cheddar, reduced fat, 50% less</t>
  </si>
  <si>
    <t>Onions, whole raw weight</t>
  </si>
  <si>
    <t>363g (330 g/0.91 edible)</t>
  </si>
  <si>
    <t>Red onions, whole raw weight</t>
  </si>
  <si>
    <t>67g</t>
  </si>
  <si>
    <t>67g (59 g /0.91 edible)</t>
  </si>
  <si>
    <t>Carrots, frozen</t>
  </si>
  <si>
    <t>360 g</t>
  </si>
  <si>
    <t>Tesco Sliced Carrots Peeled &amp; Cut 1Kg (frozen)</t>
  </si>
  <si>
    <t>Celery, whole raw weight</t>
  </si>
  <si>
    <t>250g</t>
  </si>
  <si>
    <t>104g (95 g/0.91 edible)</t>
  </si>
  <si>
    <t>Leeks, whole raw weight</t>
  </si>
  <si>
    <t>700g</t>
  </si>
  <si>
    <t>330g  (188 g /0.57 g)</t>
  </si>
  <si>
    <t>Mixed lettuce leaves</t>
  </si>
  <si>
    <t>Florette</t>
  </si>
  <si>
    <t>150g</t>
  </si>
  <si>
    <t>Cucumber, with peel, whole weight</t>
  </si>
  <si>
    <t>1/4 cucumber 274 g (266 g/ 0.97 edible)</t>
  </si>
  <si>
    <t>Tesco Cucumber Whole Each</t>
  </si>
  <si>
    <t>Tomatoes, standard, raw</t>
  </si>
  <si>
    <t>6 x 85 g small (510 g)</t>
  </si>
  <si>
    <t>Tesco Salad Tomatoes 6 Pack net weight 360g</t>
  </si>
  <si>
    <t>Potatoes, old, whole weight</t>
  </si>
  <si>
    <t>2.5kg</t>
  </si>
  <si>
    <t>765 g (470 g /0.80 edible = 588 g) + (109 g /0.8 = 136 g /0.77 = 177 g)</t>
  </si>
  <si>
    <t>Tesco All Rounder Potatoes 2.5Kg</t>
  </si>
  <si>
    <t>Baked Potato, large</t>
  </si>
  <si>
    <t>243g (165 g 0.68 weight change)</t>
  </si>
  <si>
    <t>Spring onions, whole weight</t>
  </si>
  <si>
    <t>100g</t>
  </si>
  <si>
    <t>72g (50 g/0.69)</t>
  </si>
  <si>
    <t>Tesco Bunched Spring Onions 100G</t>
  </si>
  <si>
    <t>Courgettes, whole raw weight</t>
  </si>
  <si>
    <t>91g (80 g /0.88)</t>
  </si>
  <si>
    <t>Aubergine, whole raw weight</t>
  </si>
  <si>
    <t>260g (250 g/0.96 edible)</t>
  </si>
  <si>
    <t>Red pepper, whole raw weight</t>
  </si>
  <si>
    <t>2 peppers (380 g) 320 g/0.84 edible</t>
  </si>
  <si>
    <t>Green Pepper each Class 1</t>
  </si>
  <si>
    <t>Green pepper, whole raw weight</t>
  </si>
  <si>
    <t>2 x peppers (380 g) 320 g/0.84 edible</t>
  </si>
  <si>
    <t>Red Pepper each Class 2</t>
  </si>
  <si>
    <t>French beans, frozen</t>
  </si>
  <si>
    <t>900g</t>
  </si>
  <si>
    <t>60 g</t>
  </si>
  <si>
    <t>Tesco Fine Whole Green Beans 900G</t>
  </si>
  <si>
    <t>Parsley, dried</t>
  </si>
  <si>
    <t>11g</t>
  </si>
  <si>
    <t>1 g</t>
  </si>
  <si>
    <t>Tesco Dried Parsley 11G Jar</t>
  </si>
  <si>
    <t>Peas, frozen</t>
  </si>
  <si>
    <t>80 g</t>
  </si>
  <si>
    <t>Tesco Garden Peas 1kg</t>
  </si>
  <si>
    <t>Broccoli, frozen</t>
  </si>
  <si>
    <t>170 g</t>
  </si>
  <si>
    <t>Mushrooms, frozen</t>
  </si>
  <si>
    <t>70 g</t>
  </si>
  <si>
    <t>Tesco Sliced Mushrooms 500G (frozen)</t>
  </si>
  <si>
    <t>Cauliflower, frozen</t>
  </si>
  <si>
    <t>69 g</t>
  </si>
  <si>
    <t>Tesco Cauliflower Florets 900G (frozen)</t>
  </si>
  <si>
    <t>Brussels sprouts, frozen</t>
  </si>
  <si>
    <t>84 g</t>
  </si>
  <si>
    <t>Tesco Frozen Button Brussels Sprouts 1Kg</t>
  </si>
  <si>
    <t>Sweetcorn, frozen</t>
  </si>
  <si>
    <t>Tesco Supersweet Sweetcorn 1Kg</t>
  </si>
  <si>
    <t>Penne Pasta, uncooked weight</t>
  </si>
  <si>
    <t xml:space="preserve">87g 180 g / 2.03 </t>
  </si>
  <si>
    <t>Tesco Penne Pasta Quills 500G</t>
  </si>
  <si>
    <t>Spaghetti pasta, uncooked weight</t>
  </si>
  <si>
    <t xml:space="preserve">52g 130 g /2.48 </t>
  </si>
  <si>
    <t>Tesco Short Spaghetti Pasta 500G</t>
  </si>
  <si>
    <t>Mayonnaise, light, low fat</t>
  </si>
  <si>
    <t>99 g</t>
  </si>
  <si>
    <t>Garlic, whole weight</t>
  </si>
  <si>
    <t>4 clove (15 g) (12 g / 0.79 edible)</t>
  </si>
  <si>
    <t>Chicken stock cube</t>
  </si>
  <si>
    <t>1 cube (6 g)</t>
  </si>
  <si>
    <t>Tesco 10 Chicken Stock Cubes 100G</t>
  </si>
  <si>
    <t>Lamb stock cube</t>
  </si>
  <si>
    <t>Knorr</t>
  </si>
  <si>
    <t>Chinese 5 spices</t>
  </si>
  <si>
    <t>34g</t>
  </si>
  <si>
    <t>0.5 g</t>
  </si>
  <si>
    <t>Tesco Chinese 5 Spice 34G</t>
  </si>
  <si>
    <t>All spice, ground</t>
  </si>
  <si>
    <t>33g</t>
  </si>
  <si>
    <t>Tesco Ground All Spice 33G</t>
  </si>
  <si>
    <t>Bay leaves</t>
  </si>
  <si>
    <t>3g</t>
  </si>
  <si>
    <t>1.4 g (2 leaves)</t>
  </si>
  <si>
    <t>Tesco Bay Leaves 3g (pack says 15 servings)</t>
  </si>
  <si>
    <t>Mixed herbs, dried</t>
  </si>
  <si>
    <t>18g</t>
  </si>
  <si>
    <t>1.5 g</t>
  </si>
  <si>
    <t>Tesco Mixed Herbs 18G </t>
  </si>
  <si>
    <t>Black pepper</t>
  </si>
  <si>
    <t>0.1 g</t>
  </si>
  <si>
    <t>Tomato puree</t>
  </si>
  <si>
    <t>hped tbsp 18 g</t>
  </si>
  <si>
    <t>Worcestershire  sauce</t>
  </si>
  <si>
    <t>150ml</t>
  </si>
  <si>
    <t>1 tsp 6 g</t>
  </si>
  <si>
    <t>Pasta tomato sauce, light, from jar</t>
  </si>
  <si>
    <t>Tinned tomatoes</t>
  </si>
  <si>
    <t>400g</t>
  </si>
  <si>
    <t>299 g</t>
  </si>
  <si>
    <t>Tesco Italian Chopped Tomatoes 400G</t>
  </si>
  <si>
    <t>Bolognese sauce, from jar</t>
  </si>
  <si>
    <t>Tesco Bolognese Pasta Sauce Jar 500g</t>
  </si>
  <si>
    <t>Curry sauce, from 440g jar</t>
  </si>
  <si>
    <t>Hearty Food Co.</t>
  </si>
  <si>
    <t>Gravy granules</t>
  </si>
  <si>
    <t>10 g</t>
  </si>
  <si>
    <t>Tesco Gravy Granules For Chicken 200G</t>
  </si>
  <si>
    <t>Rice, white, long grain, uncooked weight</t>
  </si>
  <si>
    <t>59 g (160 g/2.72)</t>
  </si>
  <si>
    <t>Tesco Easy Cook Long Grain Rice 1Kg</t>
  </si>
  <si>
    <t>Custard powder</t>
  </si>
  <si>
    <t>Birds</t>
  </si>
  <si>
    <t>350g</t>
  </si>
  <si>
    <t>7 g</t>
  </si>
  <si>
    <t>Birds Traditional Custard Powder 350g</t>
  </si>
  <si>
    <t>Shortcrust pastry</t>
  </si>
  <si>
    <t>450g</t>
  </si>
  <si>
    <t>50 g</t>
  </si>
  <si>
    <t>Tesco Shortcrust Pastry Mix 450G</t>
  </si>
  <si>
    <t>Sugar, caster</t>
  </si>
  <si>
    <t>Trade Aid UK</t>
  </si>
  <si>
    <t>52 g</t>
  </si>
  <si>
    <t>Wholemeal flour</t>
  </si>
  <si>
    <t>Allinson</t>
  </si>
  <si>
    <t>Allinson Wholemeal Plain Flour 1Kg</t>
  </si>
  <si>
    <t>White flour, plain</t>
  </si>
  <si>
    <t>1.5kg</t>
  </si>
  <si>
    <t>Tesco Plain Flour 1.5Kg</t>
  </si>
  <si>
    <t>Brown sugar</t>
  </si>
  <si>
    <t>Tesco Light Soft Brown Sugar 500G</t>
  </si>
  <si>
    <t>Baking powder</t>
  </si>
  <si>
    <t>Stockwell &amp; Co.</t>
  </si>
  <si>
    <t>2 g</t>
  </si>
  <si>
    <t>Stockwell &amp; Co. Baking Powder 150G</t>
  </si>
  <si>
    <t>Mixed fruit, dried</t>
  </si>
  <si>
    <t>Tesco Dried Mixed Fruit 500G</t>
  </si>
  <si>
    <t>Jelly, sugar free</t>
  </si>
  <si>
    <t>Hartleys</t>
  </si>
  <si>
    <t>2 x 115 g pots</t>
  </si>
  <si>
    <t>Hartleys Multi No Added Sugar Strawberry Jelly 6 X 115G</t>
  </si>
  <si>
    <t>Food delivery</t>
  </si>
  <si>
    <t>Xmas food &amp; drink</t>
  </si>
  <si>
    <t>£50 per household</t>
  </si>
  <si>
    <t>A2</t>
  </si>
  <si>
    <t>Eating out</t>
  </si>
  <si>
    <t>Takeaway</t>
  </si>
  <si>
    <t>Tesco Broccoli &amp; Cauliflower Floret Mix 900G (frozen)</t>
  </si>
  <si>
    <t xml:space="preserve">Tesco Quadruple Strength Lemon Squash No Added Sugar 1.5L (100 servings) </t>
  </si>
  <si>
    <t xml:space="preserve">B: Alcohol </t>
  </si>
  <si>
    <t>B1A</t>
  </si>
  <si>
    <t>Food</t>
  </si>
  <si>
    <t>Alcohol</t>
  </si>
  <si>
    <t>Tobacco</t>
  </si>
  <si>
    <t>Clothing</t>
  </si>
  <si>
    <t>Household insurances</t>
  </si>
  <si>
    <t>Other housing costs</t>
  </si>
  <si>
    <t>Household goods</t>
  </si>
  <si>
    <t>Household services</t>
  </si>
  <si>
    <t>Personal goods and services</t>
  </si>
  <si>
    <t>Motoring</t>
  </si>
  <si>
    <t>Other travel costs</t>
  </si>
  <si>
    <t>Single female pensioner</t>
  </si>
  <si>
    <t>Included in set above</t>
  </si>
  <si>
    <t>CB4 added descaler solution in line with PPens, 6 months (18 months for 30pack)</t>
  </si>
  <si>
    <t>CB4 added clingfilm. 30m lasting 6 months.</t>
  </si>
  <si>
    <t xml:space="preserve"> From supermarket/Superdrug/Boots. Lasting 10 years. CB3 changed lifetime to 5 years for SFP.</t>
  </si>
  <si>
    <t>A: Food and non-alcoholic beverages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</si>
  <si>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</si>
  <si>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</si>
  <si>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</si>
  <si>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</si>
  <si>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</si>
  <si>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</si>
  <si>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</si>
  <si>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</si>
  <si>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</si>
  <si>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</si>
  <si>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</si>
  <si>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</si>
  <si>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</si>
  <si>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</si>
  <si>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</si>
  <si>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</si>
  <si>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</si>
  <si>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</si>
  <si>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</si>
  <si>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</si>
  <si>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</si>
  <si>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</si>
  <si>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</si>
  <si>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</si>
  <si>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</si>
  <si>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</si>
  <si>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</si>
  <si>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</si>
  <si>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</si>
  <si>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</si>
  <si>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</si>
  <si>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</si>
  <si>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</si>
  <si>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</si>
  <si>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</si>
  <si>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Social and cultural participation</t>
  </si>
  <si>
    <t>Total</t>
  </si>
  <si>
    <t>Clothing, female</t>
  </si>
  <si>
    <t>£1000 a year for clothing; £500 for footwear</t>
  </si>
  <si>
    <t>£500 a year for labour and materials + £300 just in case money</t>
  </si>
  <si>
    <t>£100 per year per person</t>
  </si>
  <si>
    <t>£20 a month per household</t>
  </si>
  <si>
    <t>£10 per month per household as budget to cover all postage needs.</t>
  </si>
  <si>
    <t>Cheapest contract smartphone, would include free handset that would be upgraded every 2 years. Contract would include some free minutes, texts and data. 6GB data</t>
  </si>
  <si>
    <t>6GB internet data and unlimited minutes. For use with handset above.</t>
  </si>
  <si>
    <t>Motorola Moto E13. 64GB device memory. Warranty 24 months. 24-month contract. Handset included in cost of contract below</t>
  </si>
  <si>
    <t>Smart speaker for additional functionality and a source of company. 10 years</t>
  </si>
  <si>
    <t>£200 per year for flowers/card/gifts for other occasions. For: weddings, new baby, christening, new home, new job, retirement gifts and cards etc.</t>
  </si>
  <si>
    <t>12 gifts of £30, inclduing gift wrap and cards = £360</t>
  </si>
  <si>
    <t>£200 a year for charitable donations</t>
  </si>
  <si>
    <t>£50 for an artificial 4ft Xmas tree and decorations (baubles, lights etc.), 10 years</t>
  </si>
  <si>
    <t>LG 50UR78006LK 50" Smart 4K Ultra HD HDR LED TV</t>
  </si>
  <si>
    <t>50" smart TV for living room from John Lewis/Currys/Tesco. Lasting 8 years.</t>
  </si>
  <si>
    <t>LENOVO IdeaPad 1i 14" Laptop - Intel® Pentium® Silver, 128 GB eMMC, Blue</t>
  </si>
  <si>
    <t>14" laptop. Approx. £300. Lasting 5 years.</t>
  </si>
  <si>
    <t>Printer</t>
  </si>
  <si>
    <t>Ink cartridges</t>
  </si>
  <si>
    <t xml:space="preserve">HP Plus DeskJet 2710e Inkjet Printer </t>
  </si>
  <si>
    <t>Scanner/printer/copier all in one, 3 years</t>
  </si>
  <si>
    <t>HP Instant Ink Replacement Service.</t>
  </si>
  <si>
    <t>Replacement ink cartridges. £2.99 monthly subscription gives 50 pages per month free and sends new cartridges automatically.</t>
  </si>
  <si>
    <t>HP</t>
  </si>
  <si>
    <t>Costs £159/year.</t>
  </si>
  <si>
    <t>TV/Delivery subscription</t>
  </si>
  <si>
    <t>Amazon Prime</t>
  </si>
  <si>
    <t>£8.99 per month for Prime account.</t>
  </si>
  <si>
    <t>£40 per week for doing something 2 or 3 times per week depending on cost. Some activities could be free. E.g. theatre, cinema, swimming, gym, free exercise, craft/arts group, gardening, dance, pilates, choir, Tai Chi</t>
  </si>
  <si>
    <t>Passport needed for identification purposes.</t>
  </si>
  <si>
    <t>Tesco Max Spielmann Photo</t>
  </si>
  <si>
    <t>For passport.</t>
  </si>
  <si>
    <t>photo booth £6 (costed at Max Spielmann at Tesco)</t>
  </si>
  <si>
    <t>Gavimar Cala Gran Costa Del Sur, Majorica, 14 nights, all inclusive, departing Standsted airport, 1 June 2024, £1378.90</t>
  </si>
  <si>
    <t>14 days all inclusive, Mediterranean</t>
  </si>
  <si>
    <t>Thomas Cook</t>
  </si>
  <si>
    <t>3 night city break, UK</t>
  </si>
  <si>
    <t>300 spending money for UK city break</t>
  </si>
  <si>
    <t>Bath City Centre Hotel, Premier Inn, 3 nights, 12-15 Sep, Standard room, pre-pay, £369</t>
  </si>
  <si>
    <t>Virgin Media</t>
  </si>
  <si>
    <t>Broadband plus unlimited weekend calls to UK landlines</t>
  </si>
  <si>
    <t>Virgin Media, 54Mb avg speed, unlimited downloads, 18 month contract, no setup cost</t>
  </si>
  <si>
    <t>Cheapest cordless phone with two handsets</t>
  </si>
  <si>
    <t>Vtech CS2001 Cordless Telephone - Twin</t>
  </si>
  <si>
    <t>Car</t>
  </si>
  <si>
    <t>Help for friends and family</t>
  </si>
  <si>
    <t>Family support - looking after grandchildren, treats, foods + clothes Financial - paying for hobbies i.e. swimming lessons, horse riding, football etc. Help with cost of school trips + uniform. £1000 per year</t>
  </si>
  <si>
    <t xml:space="preserve">£30 per person, per week </t>
  </si>
  <si>
    <t>£10 a week per person</t>
  </si>
  <si>
    <t>Food for family and friends</t>
  </si>
  <si>
    <t>£100 per household per month to take out others for a meal i.e. children/grandchildren.</t>
  </si>
  <si>
    <t>RLS 2023 rebase</t>
  </si>
  <si>
    <t>£100 every 6 weeks</t>
  </si>
  <si>
    <t>£100 per person, per year</t>
  </si>
  <si>
    <t>Oral B, £20, 3 years</t>
  </si>
  <si>
    <t>Oral-B Vitality Plus Electric Toothbrush - Deep Clean</t>
  </si>
  <si>
    <t>Replace head every 3 months</t>
  </si>
  <si>
    <t>Oral-B CrossAction Electric Toothbrush Heads - 8 Pack</t>
  </si>
  <si>
    <t xml:space="preserve">£15 every month </t>
  </si>
  <si>
    <t>Beauty treatments</t>
  </si>
  <si>
    <t>£50 every 6 weeks</t>
  </si>
  <si>
    <t>Bedroom 2</t>
  </si>
  <si>
    <t>Mattress</t>
  </si>
  <si>
    <t>£20 sqm, would last 10 years, United carpets, carpetright, plus underlay and fitting (doorbars etc.</t>
  </si>
  <si>
    <t>£20 sqm, would last 15 years, United carpets, carpetright, plus underlay and fitting (doorbars etc.</t>
  </si>
  <si>
    <t>Bedroom 1</t>
  </si>
  <si>
    <t>Patio Table + chairs</t>
  </si>
  <si>
    <t>Homebase</t>
  </si>
  <si>
    <t>3 year old Ford Fiesta, replace every 7 years.</t>
  </si>
  <si>
    <t>Band C, Sheffield (as typical, illustrative council tax rate) + single person discount</t>
  </si>
  <si>
    <t>Buildings and Contents insurance</t>
  </si>
  <si>
    <t>Includes £80K contents, accidental damage, emergency cover, replacement locks, £2k personal possessions cover, £250 excess</t>
  </si>
  <si>
    <t>£196.94 paid in 12 monthly instalments of £17.90</t>
  </si>
  <si>
    <t>TV (Bedroom)</t>
  </si>
  <si>
    <t>32" Smart TV for bedroom + bracket</t>
  </si>
  <si>
    <t>SAMSUNG UE32T4300AEXXU 32" Smart HD Ready HDR LED TV</t>
  </si>
  <si>
    <t>TV bracket (bedroom)</t>
  </si>
  <si>
    <t>LOGIK LCS16 Tilt &amp; Swivel TV Bracket</t>
  </si>
  <si>
    <t>£47.88 per year for off-peak food delivery</t>
  </si>
  <si>
    <t>Yorkshire 80 Teabags 250G</t>
  </si>
  <si>
    <t>Yorkshire Tea</t>
  </si>
  <si>
    <t>Kenco Gold Indulgence Instant Coffee 195G</t>
  </si>
  <si>
    <t>Hovis</t>
  </si>
  <si>
    <t>Hovis Wholemeal Medium Bread 800G</t>
  </si>
  <si>
    <t>Tesco Original Scottish Oats 1kg</t>
  </si>
  <si>
    <t>Tesco Finest 12 Pork British Chipolata 375G</t>
  </si>
  <si>
    <t>Tesco Unsmked Back Bacon*10 300G. Clubcard price £2 (full price £2.25)</t>
  </si>
  <si>
    <t>Flora Lighter Spread 1000g. Clubcard Price £3.25 (full price £4.25)</t>
  </si>
  <si>
    <t>Flora</t>
  </si>
  <si>
    <t>1000g</t>
  </si>
  <si>
    <t>Tesco Finest Dark Seville Orange Marmalade 340G</t>
  </si>
  <si>
    <t>Tesco Sweet Easy Peeler 600G (avg 7 per pack)</t>
  </si>
  <si>
    <t xml:space="preserve">Tesco Tuna Chunks in Spring Water 145g (best option gives 102g drained) </t>
  </si>
  <si>
    <t>Tesco British Pork Loin Steaks 250g</t>
  </si>
  <si>
    <t>Tesco Stone Baked Bbq Chicken Pizza 303G</t>
  </si>
  <si>
    <t>Tesco Brown Onions 1Kg</t>
  </si>
  <si>
    <t>Loose Red Onions Class 2</t>
  </si>
  <si>
    <t>Tesco Celery Sticks 250g 75p Clubcard Price 86p standard price</t>
  </si>
  <si>
    <t>Tesco fresh Leek</t>
  </si>
  <si>
    <t>Tesco Beetroot Salad 160G</t>
  </si>
  <si>
    <t>160g</t>
  </si>
  <si>
    <t>Potatoes Baking Loose 21p each</t>
  </si>
  <si>
    <t xml:space="preserve">Courgettes Loose Class 1 </t>
  </si>
  <si>
    <t xml:space="preserve">Tesco Aubergine Each </t>
  </si>
  <si>
    <t>Hellmann's Real Mayonnaise Jar 400g</t>
  </si>
  <si>
    <t>Hellmann's</t>
  </si>
  <si>
    <t>Tesco Organic Garlic 3 Pack</t>
  </si>
  <si>
    <t>Knorr Lamb Stock Cubes 8 X 10G Clubcard Price £1.50 (full price £1.90)</t>
  </si>
  <si>
    <t>Tesco Ground Black Pepper 25g</t>
  </si>
  <si>
    <t>25g</t>
  </si>
  <si>
    <t>Lea &amp; Perrins Worcestershire Sauce 150Ml</t>
  </si>
  <si>
    <t>Tesco tomato Puree Tube 200g</t>
  </si>
  <si>
    <t>Dolmio Stir In Tomato &amp; Basil Pasta Sauce 150G</t>
  </si>
  <si>
    <t>Loyd Grossman Tikka Masala Sauce 350G</t>
  </si>
  <si>
    <t>220 g</t>
  </si>
  <si>
    <t>Silver Spoon Caster Sugar 1kg</t>
  </si>
  <si>
    <t>Weetabix Cereal 24 Pack</t>
  </si>
  <si>
    <t>Gala Apples Class 1 Loose</t>
  </si>
  <si>
    <t xml:space="preserve">Pears Conference Class 1 Loose </t>
  </si>
  <si>
    <t>Tesco 30% Reduced Fat Mature Cheese  400g</t>
  </si>
  <si>
    <t>Beer</t>
  </si>
  <si>
    <t xml:space="preserve">3 cans of beer a week. </t>
  </si>
  <si>
    <t>Beavertown Neck Oil Session Ipa 10X330ml</t>
  </si>
  <si>
    <t>Wine, Red</t>
  </si>
  <si>
    <t>1 bottle wine per week. £8 per bottle</t>
  </si>
  <si>
    <t>Mcguigan Reserve Cabernet Sauvignon 75Cl</t>
  </si>
  <si>
    <t>Beavertown</t>
  </si>
  <si>
    <t>Funeral plan</t>
  </si>
  <si>
    <t>£4150 for Co-Op Silver cremation plan</t>
  </si>
  <si>
    <t>Maintenance</t>
  </si>
  <si>
    <t>Boiler servicing and cover</t>
  </si>
  <si>
    <t>Boiler maintenance and replacement plan</t>
  </si>
  <si>
    <t>British Gas Home Care Classic
Includes:  Repairs to your gas central heating system, including boiler, controls, radiators and hot water cylinder; annual service of your boiler to make sure it's running safely and efficiently; repairs to the plumbing system in your home and outbuildings and the water supply pipe within the boundary of your property. Unblocking and repairing your drains and waste pipes to restore flow; Accidental Damage; Up to £1,000 to gain access and make good for each repair
No excess for each repair</t>
  </si>
  <si>
    <t>CB4 added in line with singles: Spy hole, 20 years.</t>
  </si>
  <si>
    <t>Video doorbell</t>
  </si>
  <si>
    <t>Blink Video Doorbell Wired or Battery</t>
  </si>
  <si>
    <t>Security Light</t>
  </si>
  <si>
    <t>2 needed. One back and one front. Last 20 yrs.</t>
  </si>
  <si>
    <t>SA Products LED Security Light - Outdoor LED Lights with 5 Bulbs &amp; Motion Sensor - Battery-Powered 600 Lumen Spotlight</t>
  </si>
  <si>
    <t>For outside, cheapest coconut matting 'welcome' style, Argos, Wilko, Homebase, 5 years x2</t>
  </si>
  <si>
    <t>For inside, rubber backed approx. £5, Argos, Wilko, Homebase, 5 years x2</t>
  </si>
  <si>
    <t>Argos Home Hearts Printed Washable Polyester Doormat - Grey</t>
  </si>
  <si>
    <t>£45 per lampshade throughout house.</t>
  </si>
  <si>
    <t xml:space="preserve">Energy efficient bulb. </t>
  </si>
  <si>
    <t>ASDA LED Classic 60W Large Bayonet Daylight Lightbulb 2 pack</t>
  </si>
  <si>
    <t>Habitat Apia Shoe Storage Bench - Natural</t>
  </si>
  <si>
    <t>Ikea</t>
  </si>
  <si>
    <t>STOCKHOLM Mirror, walnut veneer, 60 cm</t>
  </si>
  <si>
    <t>Standard Hat &amp; Coat Hook - 6 Hooks</t>
  </si>
  <si>
    <t>£150 per window, last 10 years</t>
  </si>
  <si>
    <t>3+2 seaters from DFS, fabric. Total cost up to £1,500.</t>
  </si>
  <si>
    <t>Spinn 2 seater sofa</t>
  </si>
  <si>
    <t xml:space="preserve">Living area </t>
  </si>
  <si>
    <t>Sofa (3 seater)</t>
  </si>
  <si>
    <t>Spinn 3 seater sofa</t>
  </si>
  <si>
    <t>5 cushions, approx. £12 each.</t>
  </si>
  <si>
    <t>Wynter cushion</t>
  </si>
  <si>
    <t xml:space="preserve">CB4 added in line with Ppens: Half-height bookcase. Solid (not flat pack) and matching the side tables. Lasting 20 years. </t>
  </si>
  <si>
    <t>Storage unit  that TV can go on. DFS mid range to hold weight of TV - solid. 30 years. CB4 changed lifetime to 20 years</t>
  </si>
  <si>
    <t>£260 every year for personalisation</t>
  </si>
  <si>
    <t>£20 table lamp, 5 years</t>
  </si>
  <si>
    <t>Arstid table lamp</t>
  </si>
  <si>
    <t>£30 floor lamp, 5 years</t>
  </si>
  <si>
    <t>Virrmo floor/reading lamp</t>
  </si>
  <si>
    <t>Mid-range, 6 chairs and table, Ikea, 10 years</t>
  </si>
  <si>
    <t>Ekedalen table and 6 chairs</t>
  </si>
  <si>
    <t>6 tablemats, £20 last 25 years</t>
  </si>
  <si>
    <t>Set of 4 Gardenia Grey Floral Placemats</t>
  </si>
  <si>
    <t>6 coasters, 25 years</t>
  </si>
  <si>
    <t>Set of 4 painted wooden coasters</t>
  </si>
  <si>
    <t>Flooring</t>
  </si>
  <si>
    <t>Would be replaced when the kitchen is replaced pre-retirement</t>
  </si>
  <si>
    <t>8x dinner plates, side plates, bowls. lasting 10 years. Argos/Amazon/Ikea/supermarket/Dunelm. Cheapest okay. Cb4 reduced ot 5 years in line with singles</t>
  </si>
  <si>
    <t>8 mugs, lasting 5 years. Argos/Amazon/Ikea/supermarket/Dunelm. Cheapest okay</t>
  </si>
  <si>
    <t>Sainsburys</t>
  </si>
  <si>
    <t>Supermarket 32 piece set, 25 years</t>
  </si>
  <si>
    <t>Sainsbury's Home Simplicity Cutlery set 32pc</t>
  </si>
  <si>
    <t xml:space="preserve">8 tall glasses and 8 wine glasses 2 years </t>
  </si>
  <si>
    <t>POKAL</t>
  </si>
  <si>
    <t xml:space="preserve">8 tall glasses and 8 wine glasses.2 years </t>
  </si>
  <si>
    <t>DYRGRIP</t>
  </si>
  <si>
    <t>Salt and pepper cruet. 20 years. Argos/Amazon/Ikea/supermarket/Dunelm.</t>
  </si>
  <si>
    <t>CB4 added in line wth singles: Ceramic gravy boat, Argos, Supermarket, 20 years</t>
  </si>
  <si>
    <t>Paper napkins. Cheap pack of 100. Lasting 1 year</t>
  </si>
  <si>
    <t>£60-70 from supermarket, 5 years</t>
  </si>
  <si>
    <t>Russell Hobbs Inspire 17 Litre Manual Microwave - Black</t>
  </si>
  <si>
    <t>50/50 frost free Fridge freezer, Currys, AO, 10 years</t>
  </si>
  <si>
    <t>1 needed. No other details discussed. Ppens said: Electric oven and hob, lot of debate about whether hob should be halogen induction (phasing out of gas in approx. 15 years) price standard electric and halogen induction and take to check back, Currys, AO, 10 years. CB4 said induction not needed, 10 years.</t>
  </si>
  <si>
    <t>Cheapest A rated, 8 years</t>
  </si>
  <si>
    <t>LOGIK L814WM23 8 kg 1400 Spin Washing Machine - White</t>
  </si>
  <si>
    <t>Dishwasher</t>
  </si>
  <si>
    <t>Cheapest slimline dishwasher, 15 years</t>
  </si>
  <si>
    <t>LOGIK EPP LDW45W23 Slimline Dishwasher - White</t>
  </si>
  <si>
    <t>E2</t>
  </si>
  <si>
    <t>Tumble dryer</t>
  </si>
  <si>
    <t>Cheapest A rated, 10 years</t>
  </si>
  <si>
    <t>HOTPOINT NT M10 81WK UK 8 kg Heat Pump Tumble Dryer - White</t>
  </si>
  <si>
    <t>Mid-range Supermarket quality, Supermarket, 6 years</t>
  </si>
  <si>
    <t>Small slow cooker, 10 years</t>
  </si>
  <si>
    <t>Salter Cosmos 3.5 Litre Oval Slow Cooker</t>
  </si>
  <si>
    <t>Air fryer</t>
  </si>
  <si>
    <t>Air fryer, 4.5 litres, 5 years</t>
  </si>
  <si>
    <t>Salter Digital Air Fryer 4.2 Litres - With Rack</t>
  </si>
  <si>
    <t>Multi-purpose hand blender with whisk attachment, Supermarket, Argos, The Range, B+M, 10 years</t>
  </si>
  <si>
    <t>Set of 3 or 4 non-stick saucepans, cheapest recognisable brand e.g. Tefal, 8 years or 15 years no decision. CB4 confirmed 8 years</t>
  </si>
  <si>
    <t>2 non-stick frying pans, Supermarket, Argos, 3 years. CB4 said 8 years</t>
  </si>
  <si>
    <t>Knife set approx. £50-60, Argos, The Range, 35 years. CB4 reduced lifetime to 15 years</t>
  </si>
  <si>
    <t>Scoville Knife Sharpener</t>
  </si>
  <si>
    <t>Approx. £10, 3 needed, 5 years</t>
  </si>
  <si>
    <t>Dunelm Professional 41cm Oven Tray</t>
  </si>
  <si>
    <t>2 needed, 5 years</t>
  </si>
  <si>
    <t>MasterClass Large Roasting Pan</t>
  </si>
  <si>
    <t>1 needed, 5 years</t>
  </si>
  <si>
    <t>Dunelm Framed Silicone Bun Tin</t>
  </si>
  <si>
    <t>Two shallow cake tins, spring form, non-stick, 5 years</t>
  </si>
  <si>
    <t>Dunelm Professional Springform Sandwich Tin</t>
  </si>
  <si>
    <t>CB4 added loaf tin in line with singles, lasting 5 years</t>
  </si>
  <si>
    <t>Tala Performance 1lb Loaf Tin</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</si>
  <si>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</si>
  <si>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</si>
  <si>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</si>
  <si>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</si>
  <si>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</si>
  <si>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</si>
  <si>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</si>
  <si>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Trays</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</si>
  <si>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</si>
  <si>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</si>
  <si>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</si>
  <si>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</si>
  <si>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</si>
  <si>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</si>
  <si>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3 wooden chopping boards (one for meat, veg + bread), Supermarket, Argos, The Range, B+M, 20 years. CB4 changed spec in line with singles: set of solid plastic chopping boards, lasting 5 years.</t>
  </si>
  <si>
    <t>CB4  added in line with singles: silicone oven gloves. Lasting 5 years.</t>
  </si>
  <si>
    <t>50l fliptop plastic bin, Supermarket, Argos, The Range, B+M, 15 years. CB4 changed to 25L, 15 years</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</si>
  <si>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</si>
  <si>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</si>
  <si>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</si>
  <si>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</si>
  <si>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</si>
  <si>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</si>
  <si>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</si>
  <si>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</si>
  <si>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</si>
  <si>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</si>
  <si>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</si>
  <si>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</si>
  <si>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</si>
  <si>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</si>
  <si>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</si>
  <si>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CB4 added washable spray mop refill replaced every 2 years</t>
  </si>
  <si>
    <t>Basic upright vacuum cleaner, e.g. Hoover, Electrolux brand, Argos, 8 years</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</si>
  <si>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</si>
  <si>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</si>
  <si>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</si>
  <si>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</si>
  <si>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</si>
  <si>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Anti bacterial spray replaced every 6 weeks. CB4 reduced lifetime to monthly in line with singles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</si>
  <si>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</si>
  <si>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</si>
  <si>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</si>
  <si>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</si>
  <si>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</si>
  <si>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</si>
  <si>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Replacement</t>
  </si>
  <si>
    <t>B&amp;Q/Wickes</t>
  </si>
  <si>
    <t>Once in retirement, replacing bath with walk-in shower</t>
  </si>
  <si>
    <t>Would replce when replacing the bathroom; cost included in this.</t>
  </si>
  <si>
    <t>CB4 added in line with singles: Medicine cabinet with mirror, B&amp;Q, 20 years</t>
  </si>
  <si>
    <t>CB4 added in line with singles: From Wilko/supermarket. Lasting 1 year.</t>
  </si>
  <si>
    <t>CB4 added in line with singles: 4 needed, 'Fluffy' style, Dunelm,  5 years</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</si>
  <si>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</si>
  <si>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</si>
  <si>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</si>
  <si>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</si>
  <si>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</si>
  <si>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</si>
  <si>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</si>
  <si>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</si>
  <si>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</si>
  <si>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£90 per window, last 10 years</t>
  </si>
  <si>
    <t>Double bed with headboard and storage, 20 years. 2 drawers minimum. Cheapest okay. DFS, IKEA, Dreams, Furniture Village, Bension for Beds</t>
  </si>
  <si>
    <t xml:space="preserve">Recognisable brand such as silentnight or Slumberland. Approx £300-400, lasting 15 years. CB4 ncreased spec in line with singles: very good quality double mattress, pocket sprung - would want to test out in store, JL, Dreams, Bensons for Beds, 8 years </t>
  </si>
  <si>
    <t>2 Double wardrobes. From Ikea/Argos/B&amp;Q/Wayfair/online. Cheapest 'sturdy'. 20 years</t>
  </si>
  <si>
    <t>Chest-height. From Ikea/Argos/B&amp;Q/Wayfair/online. Lasting 20 years</t>
  </si>
  <si>
    <t xml:space="preserve">Two bedside tables from Ikea/Argos/B&amp;Q/Wayfair/online. Lasting 20 years. </t>
  </si>
  <si>
    <t xml:space="preserve">CB4 added in line with singles: Full length mirror, cheap, Dunelm, 30 years. CB3 changed lifetime to 20 years in line with SFP. </t>
  </si>
  <si>
    <t>Two bedside lamps. £10 each frrom Next, Dunelm, Wilko, The Range, B&amp;Q, supermarket. No lifetime provided Cb4 confirmed 10 years</t>
  </si>
  <si>
    <t>CB4 added in line with singles: wooden chair from Dunelm/Dreams. Mid-mid quality, lasting 20 years</t>
  </si>
  <si>
    <t>Combined, clip-together winter and summer duvets. Mid-range. Approx. 4 and 10.5 tog. Lasting 3 years.</t>
  </si>
  <si>
    <t>Four needed. Mid-range synthetic filling from Tesco, The Range, Asda, Dunelm. Lasting 3 years.</t>
  </si>
  <si>
    <t xml:space="preserve">3 needed (used for bedroom 1 and bedroom 2). From Tesco, The Range, Asda, Dunelm. Middle range with a decent threadcount of approx. 200. Lasting 3 years. </t>
  </si>
  <si>
    <t xml:space="preserve">3 needed (used for bedroom 1 and bedroom 2). From Tesco, The Range, Asda, Dunelm. Middle range with a decent threadcount of approx. 200 Lasting 3 years </t>
  </si>
  <si>
    <t>3 needed (used for bedroom 1 and bedroom 2). From Tesco, The Range, Asda, Dunelm. Middle range with a decent threadcount of approx. 200 Lasting 3 years.</t>
  </si>
  <si>
    <t xml:space="preserve">6 extra pillow cases needed in addition to the 6 that come with the duvet sets (used for bedroom 1 and bedroom 2). From Tesco, The Range, Asda, Dunelm. Lasting 3 years. </t>
  </si>
  <si>
    <t xml:space="preserve">2 needed. From Tesco, The Range, Asda, Dunelm. Lasting 3 years. </t>
  </si>
  <si>
    <t xml:space="preserve">8 pillow protectors needed, cheap ok, Dunelm, Supermarket.  3 years. </t>
  </si>
  <si>
    <t>Added but no other info provided. CB4 said 10 years.</t>
  </si>
  <si>
    <t>Ottoman</t>
  </si>
  <si>
    <t>Mid-range, 25 years</t>
  </si>
  <si>
    <t>Verona Upholstered Ottoman in Grey</t>
  </si>
  <si>
    <t>Hot water bottles</t>
  </si>
  <si>
    <t>x2, cheapest ok, plus cover, lasts 2 years.</t>
  </si>
  <si>
    <t>Lenon Black Faux Fur Hot Water Bottle</t>
  </si>
  <si>
    <t>Double bed</t>
  </si>
  <si>
    <t>No other info. Other furniture same as bedroom 1, so assume bed is the same? Bedroom 1 included following: Double bed with headboard and storage, 20 years. 2 drawers minimum. Cheapest okay. DFS, IKEA, Dreams, Furniture Village, Bension for Beds. CB4 changed lifetime to 40 years due to less regular use.</t>
  </si>
  <si>
    <t>Classic Divan Base - Double with 2 drawers</t>
  </si>
  <si>
    <t>Same quality as bedroom 1: Recognisable brand such as silentnight or Slumberland. Approx £300-400, lasting 15 years. Cb4 increased lifetime to 16 years and increased spec in line with singles: very good quality double mattress, pocket sprung - would want to test out in store, JL, Dreams, Bensons for Beds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</si>
  <si>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</si>
  <si>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</si>
  <si>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</si>
  <si>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</si>
  <si>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</si>
  <si>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</si>
  <si>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</si>
  <si>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2 lamps same as bedroom 1: £10 each frrom Next, Dunelm, Wilko, The Range, B&amp;Q, supermarket. No lifetime provided CB4 increased lifetime to 20 years</t>
  </si>
  <si>
    <t>10.5 Tog. 16 years as only for occasional use. CB4 changed lifetime to 8 years</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</si>
  <si>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</si>
  <si>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</si>
  <si>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Bedroom 3</t>
  </si>
  <si>
    <t>Sofabed</t>
  </si>
  <si>
    <t>Mid-range, DFS, 2 seater, 25 years</t>
  </si>
  <si>
    <t>Horace, Large 2 Seater Deluxe Sofa Bed</t>
  </si>
  <si>
    <t>Desk</t>
  </si>
  <si>
    <t>Ikea, £80, 25 years</t>
  </si>
  <si>
    <t>TROTTEN Desk, white/anthracite, 120x70 cm</t>
  </si>
  <si>
    <t>Chair (office)</t>
  </si>
  <si>
    <t>Ikea, 10 years</t>
  </si>
  <si>
    <t>MILLBERGET Swivel chair, Murum black</t>
  </si>
  <si>
    <t>B&amp;Q, cheapest wooden bistro set, 4 years</t>
  </si>
  <si>
    <t>TRAMONTINA 3 PIECE TEAK WOOD BISTRO SET</t>
  </si>
  <si>
    <t>Lounger</t>
  </si>
  <si>
    <t>B&amp;Q, cheapest wooden, 4 years</t>
  </si>
  <si>
    <t>Bantham Teak Hardwood Steamer Lounger</t>
  </si>
  <si>
    <t>Pots/Plants etc.</t>
  </si>
  <si>
    <t>£200 a year for pots and plant</t>
  </si>
  <si>
    <t xml:space="preserve">Bedroom 1 </t>
  </si>
  <si>
    <t>Carpet, softer than stairs as less wear and tear, approx. £15 per sqm plus fitting, 10 years.</t>
  </si>
  <si>
    <t>Carpet Right, £14.99/sqm Kingston Saxony Carpet 4m roll, 4.19mx3.45m = 14.46m (4m roll will need 16.8m2) £251.83 + Delightful Carpet Underlay 7mm £137.43 + 17.3m of gripper £40.50 + Double Edge Aluminium Door Bar - 0.9lm £11.99 + fitting £83.83 + delivery £29.99 = £555.57</t>
  </si>
  <si>
    <t xml:space="preserve">Bedroom 2 </t>
  </si>
  <si>
    <t>Carpet Right, £14.99/sqm Kingston Saxony Carpet (Mercury) 4m roll, 3.58mx3.40m = 12.17m (4m roll will need 13.6m2) £203.86 + Delight Carpet Underlay 7mm £111.06 + 15m of gripper £33.75 + Double Edge Aluminium Door Bar - 0.9lm £11.99 + fitting £67.86 + delivery £29.99 = £458.51</t>
  </si>
  <si>
    <t>Carpet Right, £14.99/sqm Kingston Saxony Carpet (Mercury) 4m roll, 2.36mx2.29m = 5.40m (4m roll will need 9.22m) £137.91 + Delight Carpet Underlay 7mm £75.11 + 13m of gripper £29.25 + Double Edge Aluminium Door Bar - 0.9lm £11.99 + fitting £49.90+ delivery £29.99 = £334.15</t>
  </si>
  <si>
    <t>Laminate, just below mid-range</t>
  </si>
  <si>
    <t>Carpet Right, Premoda Borgo Greenwich Oak Laminate, £29.99sqm 3.89mx3.48m = 13.54m2 = £472.36, Stepshield Wood and Laminate Underlay 3mm £79.80 + fitting £220.34 + delivery £29.99 = £802.49</t>
  </si>
  <si>
    <t>£25 sqm, would last 20 years, United carpets, carpetright, plus underlay and fitting (doorbars etc.)</t>
  </si>
  <si>
    <t>Carpetright, Ashwell Textured Carpet £21.59sqm 4m roll, 2.36mx2.29m = 5.40m (4m roll will need 9.2m2) £198.65 + Blissful Carpet Underlay 10mm £112.71 + 13m of gripper £29.25 + Double Edge Aluminium Door Bar - 0.9lm £11.99 + fitting £49.90+ delivery £29.99 =£432.49</t>
  </si>
  <si>
    <t>Carpet Right, Ashwell Textured Carpet £21.59sqm, 3.99mx3.76m = (4m roll) will need 16m2 £345.48 + Blissful Carpet Underlay 10mm £196.64 + 16m gripper £36 + Double Edge Aluminium Door Bar - 0.9lm £11.99 + fitting £79.84+ delivery £29.99 = £699.94</t>
  </si>
  <si>
    <t>Stairs/landing</t>
  </si>
  <si>
    <t>Laminate</t>
  </si>
  <si>
    <t>MODERATE 2023 Single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</si>
</sst>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8" formatCode="&quot;£&quot;#,##0.00;[Red]\-&quot;£&quot;#,##0.00"/>
    <numFmt numFmtId="164" formatCode="&quot;£&quot;#,##0.00"/>
    <numFmt numFmtId="165" formatCode="0.000000"/>
    <numFmt numFmtId="166" formatCode="0.0"/>
    <numFmt numFmtId="167" formatCode="0.000"/>
  </numFmts>
  <fonts count="27"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indexed="58"/>
      <name val="Arial"/>
      <family val="2"/>
    </font>
    <font>
      <sz val="8"/>
      <color indexed="8"/>
      <name val="Arial"/>
      <family val="2"/>
    </font>
    <font>
      <sz val="11"/>
      <color rgb="FFFF0000"/>
      <name val="Calibri"/>
      <family val="2"/>
      <scheme val="minor"/>
    </font>
    <font>
      <sz val="8"/>
      <color rgb="FFFF0000"/>
      <name val="Arial"/>
      <family val="2"/>
    </font>
    <font>
      <b/>
      <sz val="8"/>
      <color rgb="FFFF0000"/>
      <name val="Arial"/>
      <family val="2"/>
    </font>
    <font>
      <b/>
      <sz val="8"/>
      <color rgb="FFEF2111"/>
      <name val="Arial"/>
      <family val="2"/>
    </font>
    <font>
      <sz val="8"/>
      <color rgb="FFEF2111"/>
      <name val="Arial"/>
      <family val="2"/>
    </font>
    <font>
      <b/>
      <sz val="11"/>
      <color rgb="FFFF0000"/>
      <name val="Calibri"/>
      <family val="2"/>
      <scheme val="minor"/>
    </font>
    <font>
      <b/>
      <sz val="12"/>
      <color theme="1"/>
      <name val="Arial"/>
      <family val="2"/>
    </font>
    <font>
      <b/>
      <sz val="11"/>
      <color theme="1"/>
      <name val="Arial"/>
      <family val="2"/>
    </font>
    <font>
      <sz val="11"/>
      <color theme="1"/>
      <name val="Arial"/>
      <family val="2"/>
    </font>
    <font>
      <sz val="8"/>
      <name val="Calibri"/>
      <family val="2"/>
      <scheme val="minor"/>
    </font>
  </fonts>
  <fills count="2">
    <fill>
      <patternFill patternType="none"/>
    </fill>
    <fill>
      <patternFill patternType="gray125"/>
    </fill>
  </fills>
  <borders count="1">
    <border>
      <left/>
      <right/>
      <top/>
      <bottom/>
      <diagonal/>
    </border>
  </borders>
  <cellStyleXfs count="8">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cellStyleXfs>
  <cellXfs count="164">
    <xf numFmtId="0" fontId="0" fillId="0" borderId="0" xfId="0"/>
    <xf numFmtId="0" fontId="2" fillId="0" borderId="0" xfId="1" applyFont="1" applyAlignment="1">
      <alignment horizontal="left" vertical="top" wrapText="1"/>
    </xf>
    <xf numFmtId="0" fontId="3" fillId="0" borderId="0" xfId="0" applyFont="1" applyAlignment="1">
      <alignment vertical="top" wrapText="1"/>
    </xf>
    <xf numFmtId="0" fontId="3" fillId="0" borderId="0" xfId="0" applyFont="1" applyAlignment="1">
      <alignment horizontal="left" vertical="top" wrapText="1"/>
    </xf>
    <xf numFmtId="0" fontId="3" fillId="0" borderId="0" xfId="0" applyFont="1" applyAlignment="1">
      <alignment vertical="top"/>
    </xf>
    <xf numFmtId="0" fontId="1" fillId="0" borderId="0" xfId="0" applyFont="1" applyAlignment="1">
      <alignment horizontal="left" vertical="top" wrapText="1"/>
    </xf>
    <xf numFmtId="0" fontId="1" fillId="0" borderId="0" xfId="1" applyFont="1" applyAlignment="1">
      <alignment horizontal="left" vertical="top" wrapText="1"/>
    </xf>
    <xf numFmtId="2" fontId="1" fillId="0" borderId="0" xfId="1" applyNumberFormat="1" applyFont="1" applyAlignment="1">
      <alignment horizontal="left" vertical="top" wrapText="1"/>
    </xf>
    <xf numFmtId="0" fontId="2" fillId="0" borderId="0" xfId="0" applyFont="1" applyAlignment="1">
      <alignment horizontal="left" vertical="top" wrapText="1"/>
    </xf>
    <xf numFmtId="2" fontId="2" fillId="0" borderId="0" xfId="1" applyNumberFormat="1" applyFont="1" applyAlignment="1">
      <alignment horizontal="left" vertical="top" wrapText="1"/>
    </xf>
    <xf numFmtId="0" fontId="2" fillId="0" borderId="0" xfId="0" applyFont="1" applyAlignment="1">
      <alignment horizontal="left" vertical="top"/>
    </xf>
    <xf numFmtId="0" fontId="1" fillId="0" borderId="0" xfId="1" applyFont="1" applyAlignment="1">
      <alignment horizontal="left" vertical="top"/>
    </xf>
    <xf numFmtId="0" fontId="2" fillId="0" borderId="0" xfId="2" applyFont="1" applyAlignment="1">
      <alignment horizontal="left" vertical="top" wrapText="1"/>
    </xf>
    <xf numFmtId="2" fontId="2" fillId="0" borderId="0" xfId="2" applyNumberFormat="1" applyFont="1" applyAlignment="1">
      <alignment horizontal="left" vertical="top" wrapText="1"/>
    </xf>
    <xf numFmtId="0" fontId="1" fillId="0" borderId="0" xfId="0" applyFont="1" applyAlignment="1">
      <alignment horizontal="left" vertical="top"/>
    </xf>
    <xf numFmtId="0" fontId="3" fillId="0" borderId="0" xfId="0" applyFont="1" applyAlignment="1">
      <alignment horizontal="left" vertical="top"/>
    </xf>
    <xf numFmtId="0" fontId="0" fillId="0" borderId="0" xfId="0" applyAlignment="1">
      <alignment wrapText="1"/>
    </xf>
    <xf numFmtId="2" fontId="2" fillId="0" borderId="0" xfId="0" applyNumberFormat="1" applyFont="1" applyAlignment="1">
      <alignment horizontal="left" vertical="top" wrapText="1"/>
    </xf>
    <xf numFmtId="2" fontId="0" fillId="0" borderId="0" xfId="0" applyNumberFormat="1"/>
    <xf numFmtId="2" fontId="1" fillId="0" borderId="0" xfId="0" applyNumberFormat="1" applyFont="1" applyAlignment="1">
      <alignment horizontal="left" vertical="top" wrapText="1"/>
    </xf>
    <xf numFmtId="2" fontId="3" fillId="0" borderId="0" xfId="0" applyNumberFormat="1" applyFont="1" applyAlignment="1">
      <alignment horizontal="left" vertical="top"/>
    </xf>
    <xf numFmtId="0" fontId="2" fillId="0" borderId="0" xfId="1" quotePrefix="1" applyFont="1" applyAlignment="1">
      <alignment horizontal="left" vertical="top" wrapText="1"/>
    </xf>
    <xf numFmtId="0" fontId="19" fillId="0" borderId="0" xfId="1" applyFont="1" applyAlignment="1">
      <alignment horizontal="left" vertical="top" wrapText="1"/>
    </xf>
    <xf numFmtId="0" fontId="16" fillId="0" borderId="0" xfId="0" applyFont="1" applyAlignment="1">
      <alignment horizontal="left" vertical="top"/>
    </xf>
    <xf numFmtId="2" fontId="16" fillId="0" borderId="0" xfId="0" applyNumberFormat="1" applyFont="1" applyAlignment="1">
      <alignment horizontal="left" vertical="top"/>
    </xf>
    <xf numFmtId="0" fontId="14" fillId="0" borderId="0" xfId="0" applyFont="1" applyAlignment="1">
      <alignment horizontal="left" vertical="top"/>
    </xf>
    <xf numFmtId="0" fontId="2" fillId="0" borderId="0" xfId="6" applyFont="1" applyFill="1" applyAlignment="1">
      <alignment horizontal="left" vertical="top" wrapText="1"/>
    </xf>
    <xf numFmtId="0" fontId="23" fillId="0" borderId="0" xfId="0" applyFont="1"/>
    <xf numFmtId="0" fontId="24" fillId="0" borderId="0" xfId="0" applyFont="1"/>
    <xf numFmtId="0" fontId="25" fillId="0" borderId="0" xfId="0" applyFont="1"/>
    <xf numFmtId="2" fontId="25" fillId="0" borderId="0" xfId="0" applyNumberFormat="1" applyFont="1"/>
    <xf numFmtId="2" fontId="3" fillId="0" borderId="0" xfId="0" applyNumberFormat="1" applyFont="1"/>
    <xf numFmtId="0" fontId="3" fillId="0" borderId="0" xfId="0" applyFont="1"/>
    <xf numFmtId="0" fontId="3" fillId="0" borderId="0" xfId="0" applyFont="1" applyAlignment="1">
      <alignment wrapText="1"/>
    </xf>
    <xf numFmtId="166" fontId="3" fillId="0" borderId="0" xfId="0" applyNumberFormat="1" applyFont="1"/>
    <xf numFmtId="0" fontId="2" fillId="0" borderId="0" xfId="6" applyFont="1" applyFill="1" applyAlignment="1">
      <alignment vertical="top" wrapText="1"/>
    </xf>
    <xf numFmtId="2" fontId="24" fillId="0" borderId="0" xfId="0" applyNumberFormat="1" applyFont="1"/>
    <xf numFmtId="0" fontId="14" fillId="0" borderId="0" xfId="0" applyFont="1" applyAlignment="1">
      <alignment horizontal="left" vertical="top" wrapText="1"/>
    </xf>
    <xf numFmtId="0" fontId="0" fillId="0" borderId="0" xfId="0" applyAlignment="1">
      <alignment horizontal="left" vertical="top"/>
    </xf>
    <xf numFmtId="2" fontId="3" fillId="0" borderId="0" xfId="0" applyNumberFormat="1" applyFont="1" applyAlignment="1">
      <alignment horizontal="right" vertical="top" wrapText="1"/>
    </xf>
    <xf numFmtId="0" fontId="3" fillId="0" borderId="0" xfId="0" applyFont="1" applyAlignment="1">
      <alignment horizontal="right" vertical="top" wrapText="1"/>
    </xf>
    <xf numFmtId="166" fontId="3" fillId="0" borderId="0" xfId="0" applyNumberFormat="1" applyFont="1" applyAlignment="1">
      <alignment horizontal="right" vertical="top" wrapText="1"/>
    </xf>
    <xf numFmtId="2" fontId="2" fillId="0" borderId="0" xfId="0" applyNumberFormat="1" applyFont="1" applyAlignment="1">
      <alignment horizontal="right" vertical="top"/>
    </xf>
    <xf numFmtId="0" fontId="2" fillId="0" borderId="0" xfId="0" applyFont="1" applyAlignment="1">
      <alignment horizontal="right" vertical="top"/>
    </xf>
    <xf numFmtId="166" fontId="2" fillId="0" borderId="0" xfId="0" applyNumberFormat="1" applyFont="1" applyAlignment="1">
      <alignment horizontal="right" vertical="top"/>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166" fontId="2" fillId="0" borderId="0" xfId="0" applyNumberFormat="1" applyFont="1" applyAlignment="1">
      <alignment horizontal="right" vertical="top" wrapText="1"/>
    </xf>
    <xf numFmtId="6" fontId="2" fillId="0" borderId="0" xfId="0" applyNumberFormat="1" applyFont="1" applyAlignment="1">
      <alignment horizontal="left" vertical="top" wrapText="1"/>
    </xf>
    <xf numFmtId="0" fontId="0" fillId="0" borderId="0" xfId="0" applyAlignment="1">
      <alignment horizontal="left" vertical="top" wrapText="1"/>
    </xf>
    <xf numFmtId="2" fontId="0" fillId="0" borderId="0" xfId="0" applyNumberFormat="1" applyAlignment="1">
      <alignment horizontal="left" vertical="top"/>
    </xf>
    <xf numFmtId="2" fontId="3" fillId="0" borderId="0" xfId="0" applyNumberFormat="1" applyFont="1" applyAlignment="1">
      <alignment horizontal="left" vertical="top" wrapText="1"/>
    </xf>
    <xf numFmtId="2" fontId="2" fillId="0" borderId="0" xfId="0" applyNumberFormat="1" applyFont="1" applyAlignment="1">
      <alignment horizontal="left" vertical="top"/>
    </xf>
    <xf numFmtId="0" fontId="15" fillId="0" borderId="0" xfId="0" applyFont="1" applyAlignment="1">
      <alignment horizontal="left" vertical="top" wrapText="1"/>
    </xf>
    <xf numFmtId="0" fontId="2" fillId="0" borderId="0" xfId="1" applyFont="1" applyAlignment="1">
      <alignment horizontal="left" vertical="top"/>
    </xf>
    <xf numFmtId="0" fontId="1" fillId="0" borderId="0" xfId="1" applyFont="1" applyAlignment="1">
      <alignment vertical="top" wrapText="1"/>
    </xf>
    <xf numFmtId="2" fontId="1" fillId="0" borderId="0" xfId="1" applyNumberFormat="1" applyFont="1" applyAlignment="1">
      <alignment vertical="top" wrapText="1"/>
    </xf>
    <xf numFmtId="0" fontId="19" fillId="0" borderId="0" xfId="1" applyFont="1" applyAlignment="1">
      <alignment vertical="top" wrapText="1"/>
    </xf>
    <xf numFmtId="2" fontId="2" fillId="0" borderId="0" xfId="2" applyNumberFormat="1" applyFont="1" applyAlignment="1">
      <alignment horizontal="right" vertical="top" wrapText="1"/>
    </xf>
    <xf numFmtId="0" fontId="2" fillId="0" borderId="0" xfId="2" applyFont="1" applyAlignment="1">
      <alignment horizontal="right" vertical="top" wrapText="1"/>
    </xf>
    <xf numFmtId="166" fontId="2" fillId="0" borderId="0" xfId="2" applyNumberFormat="1" applyFont="1" applyAlignment="1">
      <alignment horizontal="right" vertical="top" wrapText="1"/>
    </xf>
    <xf numFmtId="0" fontId="2" fillId="0" borderId="0" xfId="1" applyFont="1" applyAlignment="1">
      <alignment vertical="top" wrapText="1"/>
    </xf>
    <xf numFmtId="14" fontId="2" fillId="0" borderId="0" xfId="2" applyNumberFormat="1" applyFont="1" applyAlignment="1">
      <alignment horizontal="left" vertical="top" wrapText="1"/>
    </xf>
    <xf numFmtId="0" fontId="5" fillId="0" borderId="0" xfId="2" applyFont="1" applyAlignment="1">
      <alignment horizontal="left" vertical="top" wrapText="1"/>
    </xf>
    <xf numFmtId="0" fontId="5" fillId="0" borderId="0" xfId="1" applyFont="1" applyAlignment="1">
      <alignment horizontal="left" vertical="top" wrapText="1"/>
    </xf>
    <xf numFmtId="0" fontId="7" fillId="0" borderId="0" xfId="0" applyFont="1" applyAlignment="1">
      <alignment vertical="top"/>
    </xf>
    <xf numFmtId="0" fontId="7" fillId="0" borderId="0" xfId="0" applyFont="1" applyAlignment="1">
      <alignmen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5" applyFont="1" applyAlignment="1">
      <alignment vertical="top" wrapText="1"/>
    </xf>
    <xf numFmtId="0" fontId="3" fillId="0" borderId="0" xfId="5" applyFont="1" applyAlignment="1">
      <alignment vertical="top"/>
    </xf>
    <xf numFmtId="2" fontId="3" fillId="0" borderId="0" xfId="5" applyNumberFormat="1" applyFont="1" applyAlignment="1">
      <alignment horizontal="right" vertical="top"/>
    </xf>
    <xf numFmtId="0" fontId="3" fillId="0" borderId="0" xfId="5" applyFont="1" applyAlignment="1">
      <alignment horizontal="right" vertical="top"/>
    </xf>
    <xf numFmtId="166" fontId="2" fillId="0" borderId="0" xfId="5" applyNumberFormat="1" applyFont="1" applyAlignment="1">
      <alignment horizontal="right" vertical="top" wrapText="1"/>
    </xf>
    <xf numFmtId="167" fontId="3" fillId="0" borderId="0" xfId="5" applyNumberFormat="1" applyFont="1" applyAlignment="1">
      <alignment vertical="top" wrapText="1"/>
    </xf>
    <xf numFmtId="0" fontId="2" fillId="0" borderId="0" xfId="0" applyFont="1" applyAlignment="1">
      <alignment vertical="top" wrapText="1"/>
    </xf>
    <xf numFmtId="0" fontId="2" fillId="0" borderId="0" xfId="2" applyFont="1" applyAlignment="1">
      <alignment vertical="top" wrapText="1"/>
    </xf>
    <xf numFmtId="0" fontId="3" fillId="0" borderId="0" xfId="5" applyFont="1" applyAlignment="1">
      <alignment horizontal="left" vertical="top"/>
    </xf>
    <xf numFmtId="0" fontId="2" fillId="0" borderId="0" xfId="5" applyFont="1" applyAlignment="1">
      <alignment vertical="top" wrapText="1"/>
    </xf>
    <xf numFmtId="0" fontId="2" fillId="0" borderId="0" xfId="0" applyFont="1" applyAlignment="1">
      <alignment vertical="top"/>
    </xf>
    <xf numFmtId="2" fontId="3" fillId="0" borderId="0" xfId="0" applyNumberFormat="1" applyFont="1" applyAlignment="1">
      <alignment vertical="top" wrapText="1"/>
    </xf>
    <xf numFmtId="2" fontId="3" fillId="0" borderId="0" xfId="0" applyNumberFormat="1" applyFont="1" applyAlignment="1">
      <alignment vertical="top"/>
    </xf>
    <xf numFmtId="2" fontId="3" fillId="0" borderId="0" xfId="5" applyNumberFormat="1" applyFont="1" applyAlignment="1">
      <alignment horizontal="left" vertical="top"/>
    </xf>
    <xf numFmtId="2" fontId="2" fillId="0" borderId="0" xfId="5" applyNumberFormat="1" applyFont="1" applyAlignment="1">
      <alignment horizontal="left" vertical="top" wrapText="1"/>
    </xf>
    <xf numFmtId="2" fontId="3" fillId="0" borderId="0" xfId="5" applyNumberFormat="1" applyFont="1" applyAlignment="1">
      <alignment vertical="top"/>
    </xf>
    <xf numFmtId="2" fontId="2" fillId="0" borderId="0" xfId="5" applyNumberFormat="1" applyFont="1" applyAlignment="1">
      <alignment vertical="top" wrapText="1"/>
    </xf>
    <xf numFmtId="0" fontId="1" fillId="0" borderId="0" xfId="1" applyFont="1" applyAlignment="1">
      <alignment vertical="top"/>
    </xf>
    <xf numFmtId="0" fontId="20" fillId="0" borderId="0" xfId="1" applyFont="1" applyAlignment="1">
      <alignment horizontal="left" vertical="top" wrapText="1"/>
    </xf>
    <xf numFmtId="1" fontId="2" fillId="0" borderId="0" xfId="0" applyNumberFormat="1" applyFont="1" applyAlignment="1">
      <alignment horizontal="right" vertical="top"/>
    </xf>
    <xf numFmtId="0" fontId="10" fillId="0" borderId="0" xfId="0" applyFont="1" applyAlignment="1">
      <alignment vertical="top" wrapText="1"/>
    </xf>
    <xf numFmtId="0" fontId="6" fillId="0" borderId="0" xfId="0" applyFont="1" applyAlignment="1">
      <alignment vertical="top" wrapText="1"/>
    </xf>
    <xf numFmtId="2" fontId="2" fillId="0" borderId="0" xfId="2" applyNumberFormat="1"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vertical="top" wrapText="1"/>
    </xf>
    <xf numFmtId="2" fontId="2" fillId="0" borderId="0" xfId="1" applyNumberFormat="1" applyFont="1" applyAlignment="1">
      <alignment horizontal="right" vertical="top" wrapText="1"/>
    </xf>
    <xf numFmtId="1" fontId="2" fillId="0" borderId="0" xfId="1" applyNumberFormat="1" applyFont="1" applyAlignment="1">
      <alignment horizontal="right" vertical="top" wrapText="1"/>
    </xf>
    <xf numFmtId="166" fontId="2" fillId="0" borderId="0" xfId="1" applyNumberFormat="1" applyFont="1" applyAlignment="1">
      <alignment vertical="top" wrapText="1"/>
    </xf>
    <xf numFmtId="166" fontId="2" fillId="0" borderId="0" xfId="1" applyNumberFormat="1" applyFont="1" applyAlignment="1">
      <alignment horizontal="righ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166" fontId="2" fillId="0" borderId="0" xfId="2" applyNumberFormat="1" applyFont="1" applyAlignment="1">
      <alignment vertical="top" wrapText="1"/>
    </xf>
    <xf numFmtId="0" fontId="2" fillId="0" borderId="0" xfId="0" applyFont="1" applyAlignment="1">
      <alignment horizontal="left" vertical="top" wrapText="1" indent="1"/>
    </xf>
    <xf numFmtId="0" fontId="2" fillId="0" borderId="0" xfId="1" applyFont="1" applyAlignment="1">
      <alignment horizontal="right" vertical="top" wrapText="1"/>
    </xf>
    <xf numFmtId="0" fontId="6" fillId="0" borderId="0" xfId="0" applyFont="1" applyAlignment="1">
      <alignment horizontal="left" vertical="top"/>
    </xf>
    <xf numFmtId="0" fontId="2" fillId="0" borderId="0" xfId="0" applyFont="1" applyAlignment="1">
      <alignment vertical="center" wrapText="1"/>
    </xf>
    <xf numFmtId="0" fontId="6" fillId="0" borderId="0" xfId="0" applyFont="1" applyAlignment="1">
      <alignment horizontal="left" vertical="top" wrapText="1"/>
    </xf>
    <xf numFmtId="0" fontId="2" fillId="0" borderId="0" xfId="0" applyFont="1" applyAlignment="1">
      <alignment horizontal="left" vertical="center" wrapText="1" indent="1"/>
    </xf>
    <xf numFmtId="0" fontId="6" fillId="0" borderId="0" xfId="0" applyFont="1" applyAlignment="1">
      <alignment vertical="top"/>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12" fillId="0" borderId="0" xfId="0" applyFont="1" applyAlignment="1">
      <alignment horizontal="left" vertical="top" wrapText="1"/>
    </xf>
    <xf numFmtId="0" fontId="3" fillId="0" borderId="0" xfId="0" applyFont="1" applyAlignment="1">
      <alignment horizontal="right" vertical="top"/>
    </xf>
    <xf numFmtId="0" fontId="0" fillId="0" borderId="0" xfId="0" applyAlignment="1">
      <alignment horizontal="left"/>
    </xf>
    <xf numFmtId="0" fontId="0" fillId="0" borderId="0" xfId="0" quotePrefix="1"/>
    <xf numFmtId="1" fontId="2" fillId="0" borderId="0" xfId="0" applyNumberFormat="1" applyFont="1" applyAlignment="1">
      <alignment horizontal="left" vertical="top"/>
    </xf>
    <xf numFmtId="1" fontId="2" fillId="0" borderId="0" xfId="2" applyNumberFormat="1" applyFont="1" applyAlignment="1">
      <alignment horizontal="left" vertical="top" wrapText="1"/>
    </xf>
    <xf numFmtId="1" fontId="2" fillId="0" borderId="0" xfId="1" applyNumberFormat="1" applyFont="1" applyAlignment="1">
      <alignment horizontal="left" vertical="top" wrapText="1"/>
    </xf>
    <xf numFmtId="0" fontId="10" fillId="0" borderId="0" xfId="0" applyFont="1" applyAlignment="1">
      <alignment horizontal="left" vertical="top" wrapText="1"/>
    </xf>
    <xf numFmtId="0" fontId="21" fillId="0" borderId="0" xfId="0" applyFont="1" applyAlignment="1">
      <alignment horizontal="left" vertical="top" wrapText="1"/>
    </xf>
    <xf numFmtId="0" fontId="5" fillId="0" borderId="0" xfId="1" applyFont="1" applyAlignment="1">
      <alignment vertical="top" wrapText="1"/>
    </xf>
    <xf numFmtId="165" fontId="2" fillId="0" borderId="0" xfId="1" applyNumberFormat="1" applyFont="1" applyAlignment="1">
      <alignment horizontal="left" vertical="top" wrapText="1"/>
    </xf>
    <xf numFmtId="165" fontId="2" fillId="0" borderId="0" xfId="0" applyNumberFormat="1" applyFont="1" applyAlignment="1">
      <alignment horizontal="left" vertical="top"/>
    </xf>
    <xf numFmtId="166" fontId="2" fillId="0" borderId="0" xfId="1" applyNumberFormat="1" applyFont="1" applyAlignment="1">
      <alignment horizontal="left" vertical="top" wrapText="1"/>
    </xf>
    <xf numFmtId="0" fontId="2" fillId="0" borderId="0" xfId="0" applyFont="1" applyAlignment="1">
      <alignment horizontal="center" vertical="top"/>
    </xf>
    <xf numFmtId="0" fontId="21" fillId="0" borderId="0" xfId="1" applyFont="1" applyAlignment="1">
      <alignment vertical="top" wrapText="1"/>
    </xf>
    <xf numFmtId="0" fontId="2" fillId="0" borderId="0" xfId="0" applyFont="1" applyAlignment="1">
      <alignment horizontal="left" vertical="center" wrapText="1"/>
    </xf>
    <xf numFmtId="0" fontId="5" fillId="0" borderId="0" xfId="2" applyFont="1" applyAlignment="1">
      <alignment vertical="top" wrapText="1"/>
    </xf>
    <xf numFmtId="0" fontId="5" fillId="0" borderId="0" xfId="0" applyFont="1" applyAlignment="1">
      <alignment horizontal="left" vertical="top"/>
    </xf>
    <xf numFmtId="0" fontId="21" fillId="0" borderId="0" xfId="2" applyFont="1" applyAlignment="1">
      <alignment vertical="top" wrapText="1"/>
    </xf>
    <xf numFmtId="166" fontId="2" fillId="0" borderId="0" xfId="2" applyNumberFormat="1" applyFont="1" applyAlignment="1">
      <alignment horizontal="left" vertical="top" wrapText="1"/>
    </xf>
    <xf numFmtId="2" fontId="0" fillId="0" borderId="0" xfId="0" applyNumberFormat="1" applyAlignment="1">
      <alignment horizontal="left"/>
    </xf>
    <xf numFmtId="0" fontId="1" fillId="0" borderId="0" xfId="0" applyFont="1" applyAlignment="1">
      <alignment vertical="top"/>
    </xf>
    <xf numFmtId="0" fontId="1" fillId="0" borderId="0" xfId="0" applyFont="1" applyAlignment="1">
      <alignment vertical="top" wrapText="1"/>
    </xf>
    <xf numFmtId="0" fontId="7" fillId="0" borderId="0" xfId="0" applyFont="1"/>
    <xf numFmtId="2" fontId="2" fillId="0" borderId="0" xfId="0" applyNumberFormat="1" applyFont="1" applyAlignment="1">
      <alignment vertical="top"/>
    </xf>
    <xf numFmtId="164" fontId="3" fillId="0" borderId="0" xfId="0" applyNumberFormat="1" applyFont="1" applyAlignment="1">
      <alignment horizontal="left" vertical="top" wrapText="1"/>
    </xf>
    <xf numFmtId="0" fontId="18" fillId="0" borderId="0" xfId="1" applyFont="1" applyAlignment="1">
      <alignment vertical="top" wrapText="1"/>
    </xf>
    <xf numFmtId="0" fontId="5" fillId="0" borderId="0" xfId="0" applyFont="1" applyAlignment="1">
      <alignment vertical="top" wrapText="1"/>
    </xf>
    <xf numFmtId="0" fontId="5" fillId="0" borderId="0" xfId="0" applyFont="1" applyAlignment="1">
      <alignment vertical="top"/>
    </xf>
    <xf numFmtId="0" fontId="2" fillId="0" borderId="0" xfId="3" applyFont="1" applyAlignment="1">
      <alignment horizontal="left" vertical="top" wrapText="1"/>
    </xf>
    <xf numFmtId="0" fontId="5" fillId="0" borderId="0" xfId="0" applyFont="1" applyAlignment="1">
      <alignment horizontal="left" vertical="top" wrapText="1"/>
    </xf>
    <xf numFmtId="0" fontId="22" fillId="0" borderId="0" xfId="0" applyFont="1" applyAlignment="1">
      <alignment horizontal="left"/>
    </xf>
    <xf numFmtId="0" fontId="22" fillId="0" borderId="0" xfId="0" applyFont="1"/>
    <xf numFmtId="0" fontId="17" fillId="0" borderId="0" xfId="0" applyFont="1"/>
    <xf numFmtId="0" fontId="1" fillId="0" borderId="0" xfId="2" applyFont="1" applyAlignment="1">
      <alignment horizontal="left" vertical="top" wrapText="1"/>
    </xf>
    <xf numFmtId="2" fontId="1" fillId="0" borderId="0" xfId="2" applyNumberFormat="1" applyFont="1" applyAlignment="1">
      <alignment horizontal="right" vertical="top" wrapText="1"/>
    </xf>
    <xf numFmtId="0" fontId="1" fillId="0" borderId="0" xfId="2" applyFont="1" applyAlignment="1">
      <alignment horizontal="right" vertical="top" wrapText="1"/>
    </xf>
    <xf numFmtId="166" fontId="1" fillId="0" borderId="0" xfId="2" applyNumberFormat="1" applyFont="1" applyAlignment="1">
      <alignment horizontal="right" vertical="top" wrapText="1"/>
    </xf>
    <xf numFmtId="2" fontId="3" fillId="0" borderId="0" xfId="0" applyNumberFormat="1" applyFont="1" applyAlignment="1">
      <alignment horizontal="right" vertical="top"/>
    </xf>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166" fontId="2" fillId="0" borderId="0" xfId="0" applyNumberFormat="1" applyFont="1" applyAlignment="1">
      <alignment vertical="top"/>
    </xf>
    <xf numFmtId="8" fontId="2" fillId="0" borderId="0" xfId="0" applyNumberFormat="1" applyFont="1" applyAlignment="1">
      <alignment horizontal="left" vertical="top" wrapText="1"/>
    </xf>
    <xf numFmtId="2" fontId="2" fillId="0" borderId="0" xfId="1" applyNumberFormat="1" applyFont="1" applyAlignment="1">
      <alignment vertical="top"/>
    </xf>
    <xf numFmtId="166" fontId="2" fillId="0" borderId="0" xfId="1" applyNumberFormat="1" applyFont="1" applyAlignment="1">
      <alignment vertical="top"/>
    </xf>
    <xf numFmtId="2" fontId="2" fillId="0" borderId="0" xfId="1" applyNumberFormat="1" applyFont="1" applyAlignment="1">
      <alignment horizontal="right" vertical="top"/>
    </xf>
    <xf numFmtId="0" fontId="2" fillId="0" borderId="0" xfId="1" applyFont="1" applyAlignment="1">
      <alignment horizontal="right" vertical="top"/>
    </xf>
    <xf numFmtId="166" fontId="2" fillId="0" borderId="0" xfId="1" applyNumberFormat="1" applyFont="1" applyAlignment="1">
      <alignment horizontal="right" vertical="top"/>
    </xf>
    <xf numFmtId="2" fontId="3" fillId="0" borderId="0" xfId="0" applyNumberFormat="1" applyFont="1" applyAlignment="1">
      <alignment wrapText="1"/>
    </xf>
  </cellXfs>
  <cellStyles count="8">
    <cellStyle name="Hyperlink" xfId="6" builtinId="8"/>
    <cellStyle name="Hyperlink 2" xfId="7" xr:uid="{5B5A79DF-1225-4B44-BB04-CFAC97B1C74E}"/>
    <cellStyle name="Normal" xfId="0" builtinId="0"/>
    <cellStyle name="Normal 2" xfId="1" xr:uid="{4FD385AB-6C38-4E0B-A3B9-1CDF73FE8DB1}"/>
    <cellStyle name="Normal 2 2" xfId="2" xr:uid="{C466EB92-00EB-4114-A012-59AAFA6C3479}"/>
    <cellStyle name="Normal 3" xfId="3" xr:uid="{04DCE82E-8B5A-40D5-B39C-C354213CC9E7}"/>
    <cellStyle name="Normal 4" xfId="4" xr:uid="{7EF14C96-2DF1-4363-AD05-F2D97379445D}"/>
    <cellStyle name="Normal 6" xfId="5" xr:uid="{9254FA01-0A68-4280-B03B-F5F529B8C5F0}"/>
  </cellStyles>
  <dxfs count="2">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ws1.lboro.ac.uk/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H45"/>
  <sheetViews>
    <sheetView tabSelected="1" view="pageBreakPreview" topLeftCell="B1" zoomScale="92" zoomScaleNormal="80" workbookViewId="0">
      <selection activeCell="B12" sqref="B12:E12"/>
    </sheetView>
  </sheetViews>
  <sheetFormatPr defaultColWidth="8.85546875" defaultRowHeight="15" x14ac:dyDescent="0.25"/>
  <cols>
    <col min="1" max="1" width="39.28515625" bestFit="1" customWidth="1"/>
    <col min="4" max="4" width="22.42578125" customWidth="1"/>
    <col min="5" max="5" width="13.42578125" style="29" customWidth="1"/>
    <col min="6" max="6" width="12" bestFit="1" customWidth="1"/>
    <col min="7" max="7" width="29.28515625" customWidth="1"/>
    <col min="8" max="8" width="8.7109375" style="29"/>
  </cols>
  <sheetData>
    <row r="1" spans="1:8" ht="15.75" x14ac:dyDescent="0.25">
      <c r="A1" s="27" t="s">
        <v>889</v>
      </c>
      <c r="B1" s="28" t="s">
        <v>1187</v>
      </c>
      <c r="C1" s="28"/>
      <c r="D1" s="28"/>
    </row>
    <row r="2" spans="1:8" ht="15.75" x14ac:dyDescent="0.25">
      <c r="A2" s="27"/>
      <c r="B2" s="28"/>
      <c r="C2" s="28"/>
      <c r="D2" s="28"/>
    </row>
    <row r="3" spans="1:8" ht="15.75" x14ac:dyDescent="0.25">
      <c r="A3" s="27" t="s">
        <v>794</v>
      </c>
      <c r="B3" s="28"/>
      <c r="C3" s="28"/>
      <c r="D3" s="28"/>
      <c r="F3" s="18"/>
      <c r="G3" s="29" t="s">
        <v>783</v>
      </c>
      <c r="H3" s="30">
        <f>E5</f>
        <v>117.83880889275682</v>
      </c>
    </row>
    <row r="4" spans="1:8" x14ac:dyDescent="0.25">
      <c r="A4" s="28"/>
      <c r="B4" s="28"/>
      <c r="C4" s="28"/>
      <c r="D4" s="28"/>
      <c r="F4" s="18"/>
      <c r="G4" s="29" t="s">
        <v>784</v>
      </c>
      <c r="H4" s="30">
        <f>E9</f>
        <v>13.55</v>
      </c>
    </row>
    <row r="5" spans="1:8" x14ac:dyDescent="0.25">
      <c r="A5" s="29" t="s">
        <v>800</v>
      </c>
      <c r="B5" s="30"/>
      <c r="C5" s="30"/>
      <c r="D5" s="30"/>
      <c r="E5" s="30">
        <f>SUM(E6:E7)</f>
        <v>117.83880889275682</v>
      </c>
      <c r="F5" s="18"/>
      <c r="G5" s="29" t="s">
        <v>785</v>
      </c>
      <c r="H5" s="29">
        <f>E12</f>
        <v>0</v>
      </c>
    </row>
    <row r="6" spans="1:8" x14ac:dyDescent="0.25">
      <c r="A6" s="29"/>
      <c r="B6" s="30" t="s">
        <v>801</v>
      </c>
      <c r="C6" s="30"/>
      <c r="D6" s="30"/>
      <c r="E6" s="30">
        <f>Food!E98</f>
        <v>54.825110262619823</v>
      </c>
      <c r="F6" s="18"/>
      <c r="G6" s="29" t="s">
        <v>786</v>
      </c>
      <c r="H6" s="30">
        <f>E14</f>
        <v>28.767123287671232</v>
      </c>
    </row>
    <row r="7" spans="1:8" x14ac:dyDescent="0.25">
      <c r="A7" s="29"/>
      <c r="B7" s="30" t="s">
        <v>802</v>
      </c>
      <c r="C7" s="30"/>
      <c r="D7" s="30"/>
      <c r="E7" s="30">
        <f>Food!E99</f>
        <v>63.013698630136986</v>
      </c>
      <c r="F7" s="18"/>
      <c r="G7" s="29" t="s">
        <v>55</v>
      </c>
      <c r="H7" s="30">
        <f>E17</f>
        <v>8.2360000000000007</v>
      </c>
    </row>
    <row r="8" spans="1:8" x14ac:dyDescent="0.25">
      <c r="A8" s="29"/>
      <c r="B8" s="30"/>
      <c r="C8" s="30"/>
      <c r="D8" s="30"/>
      <c r="F8" s="18"/>
      <c r="G8" s="29" t="s">
        <v>58</v>
      </c>
      <c r="H8" s="30">
        <f>E18</f>
        <v>27.633123287671232</v>
      </c>
    </row>
    <row r="9" spans="1:8" x14ac:dyDescent="0.25">
      <c r="A9" s="29" t="s">
        <v>803</v>
      </c>
      <c r="B9" s="30" t="s">
        <v>804</v>
      </c>
      <c r="C9" s="30"/>
      <c r="D9" s="30"/>
      <c r="E9" s="30">
        <f>SUM(E10:E11)</f>
        <v>13.55</v>
      </c>
      <c r="F9" s="18"/>
      <c r="G9" s="29" t="s">
        <v>787</v>
      </c>
      <c r="H9" s="30">
        <f>E19</f>
        <v>4.1194520547945208</v>
      </c>
    </row>
    <row r="10" spans="1:8" x14ac:dyDescent="0.25">
      <c r="A10" s="29"/>
      <c r="B10" s="30"/>
      <c r="C10" s="30" t="s">
        <v>805</v>
      </c>
      <c r="D10" s="30"/>
      <c r="E10" s="30">
        <f>Alcohol!E9</f>
        <v>13.55</v>
      </c>
      <c r="F10" s="18"/>
      <c r="G10" s="29" t="s">
        <v>62</v>
      </c>
      <c r="H10" s="30">
        <f>E20</f>
        <v>56.742080423287668</v>
      </c>
    </row>
    <row r="11" spans="1:8" x14ac:dyDescent="0.25">
      <c r="A11" s="29"/>
      <c r="B11" s="30"/>
      <c r="C11" s="30" t="s">
        <v>806</v>
      </c>
      <c r="D11" s="30"/>
      <c r="E11" s="30">
        <f>Alcohol!E10</f>
        <v>0</v>
      </c>
      <c r="F11" s="18"/>
      <c r="G11" s="29" t="s">
        <v>788</v>
      </c>
      <c r="H11" s="30">
        <f>E21</f>
        <v>22.985315068493151</v>
      </c>
    </row>
    <row r="12" spans="1:8" x14ac:dyDescent="0.25">
      <c r="A12" s="29"/>
      <c r="B12" s="30"/>
      <c r="C12" s="30"/>
      <c r="D12" s="30"/>
      <c r="F12" s="18"/>
      <c r="G12" s="29" t="s">
        <v>789</v>
      </c>
      <c r="H12" s="30">
        <f>E23</f>
        <v>43.968337485932111</v>
      </c>
    </row>
    <row r="13" spans="1:8" x14ac:dyDescent="0.25">
      <c r="A13" s="29"/>
      <c r="B13" s="30"/>
      <c r="C13" s="30"/>
      <c r="D13" s="30"/>
      <c r="F13" s="18"/>
      <c r="G13" s="29" t="s">
        <v>790</v>
      </c>
      <c r="H13" s="30">
        <f>E24</f>
        <v>14.975562903479766</v>
      </c>
    </row>
    <row r="14" spans="1:8" x14ac:dyDescent="0.25">
      <c r="A14" s="29" t="s">
        <v>807</v>
      </c>
      <c r="B14" s="30"/>
      <c r="C14" s="30"/>
      <c r="D14" s="30"/>
      <c r="E14" s="30">
        <f>SUM(Clothing!F7)</f>
        <v>28.767123287671232</v>
      </c>
      <c r="F14" s="18"/>
      <c r="G14" s="29" t="s">
        <v>791</v>
      </c>
      <c r="H14" s="30">
        <f>E31</f>
        <v>51.262435444243266</v>
      </c>
    </row>
    <row r="15" spans="1:8" x14ac:dyDescent="0.25">
      <c r="A15" s="29" t="s">
        <v>808</v>
      </c>
      <c r="B15" s="30" t="s">
        <v>809</v>
      </c>
      <c r="C15" s="30"/>
      <c r="D15" s="30"/>
      <c r="E15" s="30">
        <f>Housing!E11</f>
        <v>0</v>
      </c>
      <c r="F15" s="18"/>
      <c r="G15" s="29" t="s">
        <v>792</v>
      </c>
      <c r="H15" s="30">
        <f>E32</f>
        <v>79.759453729805131</v>
      </c>
    </row>
    <row r="16" spans="1:8" x14ac:dyDescent="0.25">
      <c r="A16" s="29"/>
      <c r="B16" s="30" t="s">
        <v>810</v>
      </c>
      <c r="C16" s="30"/>
      <c r="D16" s="30"/>
      <c r="E16" s="29">
        <f>Housing!E12</f>
        <v>0</v>
      </c>
      <c r="F16" s="18"/>
      <c r="G16" s="29" t="s">
        <v>793</v>
      </c>
      <c r="H16" s="30">
        <f>E33</f>
        <v>6.9680365296803659</v>
      </c>
    </row>
    <row r="17" spans="1:8" x14ac:dyDescent="0.25">
      <c r="A17" s="29"/>
      <c r="B17" s="30" t="s">
        <v>811</v>
      </c>
      <c r="C17" s="30"/>
      <c r="D17" s="30"/>
      <c r="E17" s="30">
        <f>Housing!E13</f>
        <v>8.2360000000000007</v>
      </c>
      <c r="F17" s="18"/>
      <c r="G17" s="29" t="s">
        <v>835</v>
      </c>
      <c r="H17" s="30">
        <f>E34</f>
        <v>131.15039452054793</v>
      </c>
    </row>
    <row r="18" spans="1:8" x14ac:dyDescent="0.25">
      <c r="A18" s="29"/>
      <c r="B18" s="30" t="s">
        <v>812</v>
      </c>
      <c r="C18" s="30"/>
      <c r="D18" s="30"/>
      <c r="E18" s="30">
        <f>Housing!E14</f>
        <v>27.633123287671232</v>
      </c>
      <c r="F18" s="18"/>
      <c r="G18" s="28" t="s">
        <v>836</v>
      </c>
      <c r="H18" s="36">
        <f>SUM(H3:H17)</f>
        <v>607.95612362836323</v>
      </c>
    </row>
    <row r="19" spans="1:8" x14ac:dyDescent="0.25">
      <c r="A19" s="29"/>
      <c r="B19" s="30" t="s">
        <v>813</v>
      </c>
      <c r="C19" s="30"/>
      <c r="D19" s="30"/>
      <c r="E19" s="30">
        <f>Housing!E15</f>
        <v>4.1194520547945208</v>
      </c>
      <c r="F19" s="18"/>
      <c r="G19" s="29"/>
      <c r="H19" s="30"/>
    </row>
    <row r="20" spans="1:8" x14ac:dyDescent="0.25">
      <c r="A20" s="29"/>
      <c r="B20" s="30" t="s">
        <v>814</v>
      </c>
      <c r="C20" s="30"/>
      <c r="D20" s="30"/>
      <c r="E20" s="30">
        <f>Housing!E16</f>
        <v>56.742080423287668</v>
      </c>
      <c r="F20" s="18"/>
    </row>
    <row r="21" spans="1:8" x14ac:dyDescent="0.25">
      <c r="A21" s="29"/>
      <c r="B21" s="30" t="s">
        <v>815</v>
      </c>
      <c r="C21" s="30"/>
      <c r="D21" s="30"/>
      <c r="E21" s="30">
        <f>Housing!E17</f>
        <v>22.985315068493151</v>
      </c>
      <c r="F21" s="18"/>
    </row>
    <row r="22" spans="1:8" x14ac:dyDescent="0.25">
      <c r="A22" s="29"/>
      <c r="B22" s="30"/>
      <c r="C22" s="30"/>
      <c r="D22" s="30"/>
    </row>
    <row r="23" spans="1:8" x14ac:dyDescent="0.25">
      <c r="A23" s="29" t="s">
        <v>816</v>
      </c>
      <c r="B23" s="30" t="s">
        <v>817</v>
      </c>
      <c r="C23" s="30"/>
      <c r="D23" s="30"/>
      <c r="E23" s="30">
        <f>HHGoods!E192</f>
        <v>43.968337485932111</v>
      </c>
    </row>
    <row r="24" spans="1:8" x14ac:dyDescent="0.25">
      <c r="A24" s="29"/>
      <c r="B24" s="30" t="s">
        <v>818</v>
      </c>
      <c r="C24" s="30"/>
      <c r="D24" s="30"/>
      <c r="E24" s="30">
        <f>SUM(E26:E29)</f>
        <v>14.975562903479766</v>
      </c>
      <c r="H24" s="29">
        <f>H6*52</f>
        <v>1495.8904109589041</v>
      </c>
    </row>
    <row r="25" spans="1:8" x14ac:dyDescent="0.25">
      <c r="A25" s="29"/>
      <c r="B25" s="30"/>
      <c r="C25" s="30" t="s">
        <v>819</v>
      </c>
      <c r="D25" s="30"/>
      <c r="E25" s="30">
        <f>SUM(E26:E27)</f>
        <v>11.792001259644151</v>
      </c>
    </row>
    <row r="26" spans="1:8" x14ac:dyDescent="0.25">
      <c r="A26" s="29"/>
      <c r="B26" s="29"/>
      <c r="C26" s="29"/>
      <c r="D26" s="29" t="s">
        <v>820</v>
      </c>
      <c r="E26" s="30">
        <f>HHServices!F12</f>
        <v>2.298850574712644</v>
      </c>
    </row>
    <row r="27" spans="1:8" x14ac:dyDescent="0.25">
      <c r="A27" s="29"/>
      <c r="B27" s="29"/>
      <c r="C27" s="29"/>
      <c r="D27" s="29" t="s">
        <v>821</v>
      </c>
      <c r="E27" s="30">
        <f>HHServices!F13</f>
        <v>9.493150684931507</v>
      </c>
    </row>
    <row r="28" spans="1:8" x14ac:dyDescent="0.25">
      <c r="A28" s="29"/>
      <c r="B28" s="30"/>
      <c r="C28" s="30" t="s">
        <v>822</v>
      </c>
      <c r="D28" s="30"/>
      <c r="E28" s="29">
        <v>0</v>
      </c>
    </row>
    <row r="29" spans="1:8" x14ac:dyDescent="0.25">
      <c r="A29" s="29"/>
      <c r="B29" s="30"/>
      <c r="C29" s="30" t="s">
        <v>823</v>
      </c>
      <c r="D29" s="30"/>
      <c r="E29" s="30">
        <f>HHServices!K10</f>
        <v>3.183561643835616</v>
      </c>
    </row>
    <row r="30" spans="1:8" x14ac:dyDescent="0.25">
      <c r="A30" s="29"/>
      <c r="B30" s="30"/>
      <c r="C30" s="30"/>
      <c r="D30" s="30"/>
    </row>
    <row r="31" spans="1:8" x14ac:dyDescent="0.25">
      <c r="A31" s="29" t="s">
        <v>824</v>
      </c>
      <c r="B31" s="30"/>
      <c r="C31" s="30"/>
      <c r="D31" s="30"/>
      <c r="E31" s="30">
        <f>SUM('PersonalGoods+Services'!F42+Health!F20)</f>
        <v>51.262435444243266</v>
      </c>
    </row>
    <row r="32" spans="1:8" x14ac:dyDescent="0.25">
      <c r="A32" s="29" t="s">
        <v>825</v>
      </c>
      <c r="B32" s="29" t="s">
        <v>826</v>
      </c>
      <c r="C32" s="29"/>
      <c r="D32" s="29"/>
      <c r="E32" s="30">
        <f>Transport!K9</f>
        <v>79.759453729805131</v>
      </c>
    </row>
    <row r="33" spans="1:5" x14ac:dyDescent="0.25">
      <c r="A33" s="29"/>
      <c r="B33" s="29" t="s">
        <v>827</v>
      </c>
      <c r="C33" s="29"/>
      <c r="D33" s="29"/>
      <c r="E33" s="30">
        <f>Transport!E10</f>
        <v>6.9680365296803659</v>
      </c>
    </row>
    <row r="34" spans="1:5" x14ac:dyDescent="0.25">
      <c r="A34" s="29" t="s">
        <v>828</v>
      </c>
      <c r="B34" s="29"/>
      <c r="C34" s="29"/>
      <c r="D34" s="29"/>
      <c r="E34" s="30">
        <f>SUM(E35:E40)</f>
        <v>131.15039452054793</v>
      </c>
    </row>
    <row r="35" spans="1:5" x14ac:dyDescent="0.25">
      <c r="A35" s="29"/>
      <c r="B35" s="29" t="s">
        <v>829</v>
      </c>
      <c r="C35" s="29"/>
      <c r="D35" s="29"/>
      <c r="E35" s="30">
        <f>LeisureGoods!E20</f>
        <v>44.958832876712322</v>
      </c>
    </row>
    <row r="36" spans="1:5" x14ac:dyDescent="0.25">
      <c r="A36" s="29"/>
      <c r="B36" s="29" t="s">
        <v>830</v>
      </c>
      <c r="C36" s="29"/>
      <c r="D36" s="29"/>
      <c r="E36" s="29">
        <v>0</v>
      </c>
    </row>
    <row r="37" spans="1:5" x14ac:dyDescent="0.25">
      <c r="A37" s="29"/>
      <c r="B37" s="29" t="s">
        <v>831</v>
      </c>
      <c r="C37" s="29"/>
      <c r="D37" s="29"/>
      <c r="E37" s="30">
        <f>LeisureServices!E16</f>
        <v>43.867452054794519</v>
      </c>
    </row>
    <row r="38" spans="1:5" x14ac:dyDescent="0.25">
      <c r="A38" s="29"/>
      <c r="B38" s="30" t="s">
        <v>832</v>
      </c>
      <c r="C38" s="30"/>
      <c r="D38" s="30"/>
      <c r="E38" s="30">
        <f>LeisureServices!E17</f>
        <v>3.0493150684931507</v>
      </c>
    </row>
    <row r="39" spans="1:5" x14ac:dyDescent="0.25">
      <c r="A39" s="29"/>
      <c r="B39" s="30" t="s">
        <v>833</v>
      </c>
      <c r="C39" s="30"/>
      <c r="D39" s="30"/>
      <c r="E39" s="30">
        <f>LeisureServices!E18</f>
        <v>26.444657534246577</v>
      </c>
    </row>
    <row r="40" spans="1:5" x14ac:dyDescent="0.25">
      <c r="A40" s="29"/>
      <c r="B40" s="30" t="s">
        <v>834</v>
      </c>
      <c r="C40" s="30"/>
      <c r="D40" s="30"/>
      <c r="E40" s="30">
        <f>LeisureServices!E19</f>
        <v>12.830136986301369</v>
      </c>
    </row>
    <row r="41" spans="1:5" x14ac:dyDescent="0.25">
      <c r="A41" s="29"/>
      <c r="B41" s="30"/>
      <c r="C41" s="30"/>
      <c r="D41" s="30"/>
    </row>
    <row r="43" spans="1:5" x14ac:dyDescent="0.25">
      <c r="B43" s="18"/>
      <c r="C43" s="18"/>
      <c r="D43" s="18"/>
    </row>
    <row r="45" spans="1:5" x14ac:dyDescent="0.25">
      <c r="B45" s="18"/>
      <c r="C45" s="18"/>
    </row>
  </sheetData>
  <printOptions gridLines="1"/>
  <pageMargins left="0.7" right="0.7" top="0.75" bottom="0.75" header="0.3" footer="0.3"/>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N49"/>
  <sheetViews>
    <sheetView view="pageBreakPreview" zoomScale="115" zoomScaleNormal="115" zoomScaleSheetLayoutView="115" workbookViewId="0"/>
  </sheetViews>
  <sheetFormatPr defaultColWidth="8.85546875" defaultRowHeight="15" x14ac:dyDescent="0.25"/>
  <cols>
    <col min="1" max="1" width="8" customWidth="1"/>
    <col min="2" max="2" width="6.7109375" customWidth="1"/>
    <col min="3" max="3" width="5.85546875" customWidth="1"/>
    <col min="4" max="4" width="14.28515625" customWidth="1"/>
    <col min="6" max="6" width="10.42578125" customWidth="1"/>
    <col min="12" max="12" width="22.140625" customWidth="1"/>
    <col min="13" max="13" width="20.140625" customWidth="1"/>
  </cols>
  <sheetData>
    <row r="1" spans="1:14" x14ac:dyDescent="0.25">
      <c r="A1" s="28" t="s">
        <v>1187</v>
      </c>
      <c r="B1" s="14"/>
      <c r="G1" s="115"/>
      <c r="H1" s="115"/>
      <c r="I1" s="115"/>
      <c r="J1" s="115"/>
      <c r="K1" s="144"/>
      <c r="L1" s="145"/>
      <c r="M1" s="145"/>
    </row>
    <row r="2" spans="1:14" x14ac:dyDescent="0.25">
      <c r="A2" s="14" t="s">
        <v>442</v>
      </c>
      <c r="B2" s="14"/>
      <c r="G2" s="115"/>
      <c r="H2" s="115"/>
      <c r="I2" s="115"/>
      <c r="J2" s="115"/>
      <c r="K2" s="115"/>
      <c r="N2" s="146"/>
    </row>
    <row r="3" spans="1:14" x14ac:dyDescent="0.25">
      <c r="A3" s="87" t="s">
        <v>794</v>
      </c>
      <c r="B3" s="14"/>
      <c r="G3" s="115"/>
      <c r="H3" s="115"/>
      <c r="I3" s="115"/>
      <c r="J3" s="115"/>
      <c r="K3" s="115"/>
      <c r="N3" s="146"/>
    </row>
    <row r="4" spans="1:14" ht="22.5" x14ac:dyDescent="0.25">
      <c r="A4" s="5" t="s">
        <v>0</v>
      </c>
      <c r="B4" s="5" t="s">
        <v>1</v>
      </c>
      <c r="C4" s="5" t="s">
        <v>2</v>
      </c>
      <c r="D4" s="6" t="s">
        <v>3</v>
      </c>
      <c r="E4" s="6" t="s">
        <v>4</v>
      </c>
      <c r="F4" s="6" t="s">
        <v>6</v>
      </c>
      <c r="G4" s="7" t="s">
        <v>7</v>
      </c>
      <c r="H4" s="7" t="s">
        <v>8</v>
      </c>
      <c r="I4" s="6" t="s">
        <v>9</v>
      </c>
      <c r="J4" s="6" t="s">
        <v>10</v>
      </c>
      <c r="K4" s="7" t="s">
        <v>46</v>
      </c>
      <c r="L4" s="7" t="s">
        <v>12</v>
      </c>
      <c r="M4" s="6" t="s">
        <v>13</v>
      </c>
    </row>
    <row r="5" spans="1:14" ht="22.5" x14ac:dyDescent="0.25">
      <c r="A5" s="10" t="s">
        <v>446</v>
      </c>
      <c r="B5" s="10">
        <v>7.3</v>
      </c>
      <c r="C5" s="10" t="s">
        <v>66</v>
      </c>
      <c r="D5" s="76" t="s">
        <v>443</v>
      </c>
      <c r="E5" s="10" t="s">
        <v>444</v>
      </c>
      <c r="F5" s="10"/>
      <c r="G5" s="42">
        <v>20</v>
      </c>
      <c r="H5" s="43">
        <v>1</v>
      </c>
      <c r="I5" s="43">
        <v>1</v>
      </c>
      <c r="J5" s="44">
        <f>365/84</f>
        <v>4.3452380952380949</v>
      </c>
      <c r="K5" s="42">
        <f>G5*I5/J5</f>
        <v>4.6027397260273979</v>
      </c>
      <c r="L5" s="8" t="s">
        <v>841</v>
      </c>
      <c r="M5" s="10"/>
    </row>
    <row r="6" spans="1:14" ht="26.25" customHeight="1" x14ac:dyDescent="0.25">
      <c r="A6" s="10" t="s">
        <v>446</v>
      </c>
      <c r="B6" s="10">
        <v>7.3</v>
      </c>
      <c r="C6" s="10" t="s">
        <v>66</v>
      </c>
      <c r="D6" s="76" t="s">
        <v>447</v>
      </c>
      <c r="E6" s="10" t="s">
        <v>445</v>
      </c>
      <c r="F6" s="10"/>
      <c r="G6" s="42">
        <v>100</v>
      </c>
      <c r="H6" s="43">
        <v>1</v>
      </c>
      <c r="I6" s="43">
        <v>1</v>
      </c>
      <c r="J6" s="44">
        <f>365/7</f>
        <v>52.142857142857146</v>
      </c>
      <c r="K6" s="42">
        <f>G6*I6/J6</f>
        <v>1.9178082191780821</v>
      </c>
      <c r="L6" s="8" t="s">
        <v>840</v>
      </c>
      <c r="M6" s="10"/>
    </row>
    <row r="7" spans="1:14" ht="25.5" customHeight="1" x14ac:dyDescent="0.25">
      <c r="A7" s="10" t="s">
        <v>446</v>
      </c>
      <c r="B7" s="10">
        <v>7.3</v>
      </c>
      <c r="C7" s="10" t="s">
        <v>66</v>
      </c>
      <c r="D7" s="76" t="s">
        <v>447</v>
      </c>
      <c r="E7" s="12" t="s">
        <v>448</v>
      </c>
      <c r="F7" s="147"/>
      <c r="G7" s="148"/>
      <c r="H7" s="148"/>
      <c r="I7" s="149"/>
      <c r="J7" s="150"/>
      <c r="K7" s="148"/>
      <c r="L7" s="13" t="s">
        <v>449</v>
      </c>
      <c r="M7" s="147"/>
    </row>
    <row r="8" spans="1:14" ht="27.75" customHeight="1" x14ac:dyDescent="0.25">
      <c r="A8" s="10" t="s">
        <v>446</v>
      </c>
      <c r="B8" s="10">
        <v>7.3</v>
      </c>
      <c r="C8" s="10" t="s">
        <v>66</v>
      </c>
      <c r="D8" s="76" t="s">
        <v>447</v>
      </c>
      <c r="E8" s="10" t="s">
        <v>450</v>
      </c>
      <c r="F8" s="10" t="s">
        <v>451</v>
      </c>
      <c r="G8" s="42">
        <v>70</v>
      </c>
      <c r="H8" s="43">
        <v>1</v>
      </c>
      <c r="I8" s="43">
        <v>1</v>
      </c>
      <c r="J8" s="44">
        <f>365/7*3</f>
        <v>156.42857142857144</v>
      </c>
      <c r="K8" s="42">
        <f>G8*I8/J8</f>
        <v>0.44748858447488582</v>
      </c>
      <c r="L8" s="8" t="s">
        <v>452</v>
      </c>
      <c r="M8" s="10" t="s">
        <v>453</v>
      </c>
    </row>
    <row r="9" spans="1:14" ht="22.5" x14ac:dyDescent="0.25">
      <c r="A9" s="15" t="s">
        <v>446</v>
      </c>
      <c r="B9" s="15">
        <v>7.2</v>
      </c>
      <c r="C9" s="15" t="s">
        <v>66</v>
      </c>
      <c r="D9" s="15" t="s">
        <v>882</v>
      </c>
      <c r="E9" s="15"/>
      <c r="F9" s="15"/>
      <c r="G9" s="151">
        <v>4158.8858016255535</v>
      </c>
      <c r="H9" s="15"/>
      <c r="I9" s="114">
        <v>1</v>
      </c>
      <c r="J9" s="15">
        <f>365/7</f>
        <v>52.142857142857146</v>
      </c>
      <c r="K9" s="151">
        <f>G9*I9/J9</f>
        <v>79.759453729805131</v>
      </c>
      <c r="L9" s="3" t="s">
        <v>906</v>
      </c>
    </row>
    <row r="10" spans="1:14" ht="23.25" x14ac:dyDescent="0.25">
      <c r="D10" s="33" t="s">
        <v>827</v>
      </c>
      <c r="E10" s="20">
        <f>SUM(K5:K8)</f>
        <v>6.9680365296803659</v>
      </c>
    </row>
    <row r="19" spans="7:7" x14ac:dyDescent="0.25">
      <c r="G19" s="152"/>
    </row>
    <row r="20" spans="7:7" x14ac:dyDescent="0.25">
      <c r="G20" s="152"/>
    </row>
    <row r="21" spans="7:7" x14ac:dyDescent="0.25">
      <c r="G21" s="152"/>
    </row>
    <row r="22" spans="7:7" x14ac:dyDescent="0.25">
      <c r="G22" s="152"/>
    </row>
    <row r="23" spans="7:7" x14ac:dyDescent="0.25">
      <c r="G23" s="152"/>
    </row>
    <row r="24" spans="7:7" x14ac:dyDescent="0.25">
      <c r="G24" s="152"/>
    </row>
    <row r="25" spans="7:7" x14ac:dyDescent="0.25">
      <c r="G25" s="152"/>
    </row>
    <row r="26" spans="7:7" x14ac:dyDescent="0.25">
      <c r="G26" s="152"/>
    </row>
    <row r="27" spans="7:7" x14ac:dyDescent="0.25">
      <c r="G27" s="152"/>
    </row>
    <row r="28" spans="7:7" x14ac:dyDescent="0.25">
      <c r="G28" s="152"/>
    </row>
    <row r="29" spans="7:7" x14ac:dyDescent="0.25">
      <c r="G29" s="152"/>
    </row>
    <row r="30" spans="7:7" x14ac:dyDescent="0.25">
      <c r="G30" s="152"/>
    </row>
    <row r="31" spans="7:7" x14ac:dyDescent="0.25">
      <c r="G31" s="152"/>
    </row>
    <row r="32" spans="7:7" x14ac:dyDescent="0.25">
      <c r="G32" s="152"/>
    </row>
    <row r="33" spans="7:7" x14ac:dyDescent="0.25">
      <c r="G33" s="152"/>
    </row>
    <row r="34" spans="7:7" x14ac:dyDescent="0.25">
      <c r="G34" s="152"/>
    </row>
    <row r="35" spans="7:7" x14ac:dyDescent="0.25">
      <c r="G35" s="152"/>
    </row>
    <row r="36" spans="7:7" x14ac:dyDescent="0.25">
      <c r="G36" s="152"/>
    </row>
    <row r="37" spans="7:7" x14ac:dyDescent="0.25">
      <c r="G37" s="152"/>
    </row>
    <row r="38" spans="7:7" x14ac:dyDescent="0.25">
      <c r="G38" s="152"/>
    </row>
    <row r="39" spans="7:7" x14ac:dyDescent="0.25">
      <c r="G39" s="152"/>
    </row>
    <row r="40" spans="7:7" x14ac:dyDescent="0.25">
      <c r="G40" s="152"/>
    </row>
    <row r="41" spans="7:7" x14ac:dyDescent="0.25">
      <c r="G41" s="152"/>
    </row>
    <row r="42" spans="7:7" x14ac:dyDescent="0.25">
      <c r="G42" s="152"/>
    </row>
    <row r="43" spans="7:7" x14ac:dyDescent="0.25">
      <c r="G43" s="152"/>
    </row>
    <row r="44" spans="7:7" x14ac:dyDescent="0.25">
      <c r="G44" s="152"/>
    </row>
    <row r="45" spans="7:7" x14ac:dyDescent="0.25">
      <c r="G45" s="152"/>
    </row>
    <row r="46" spans="7:7" x14ac:dyDescent="0.25">
      <c r="G46" s="152"/>
    </row>
    <row r="47" spans="7:7" x14ac:dyDescent="0.25">
      <c r="G47" s="152"/>
    </row>
    <row r="48" spans="7:7" x14ac:dyDescent="0.25">
      <c r="G48" s="152"/>
    </row>
    <row r="49" spans="7:7" x14ac:dyDescent="0.25">
      <c r="G49" s="152"/>
    </row>
  </sheetData>
  <printOptions gridLines="1"/>
  <pageMargins left="0.7" right="0.7" top="0.75" bottom="0.75" header="0.3" footer="0.3"/>
  <pageSetup paperSize="9" scale="8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20"/>
  <sheetViews>
    <sheetView view="pageBreakPreview" zoomScaleNormal="80" zoomScaleSheetLayoutView="100" workbookViewId="0"/>
  </sheetViews>
  <sheetFormatPr defaultColWidth="8.85546875" defaultRowHeight="15" x14ac:dyDescent="0.25"/>
  <cols>
    <col min="1" max="1" width="5.7109375" customWidth="1"/>
    <col min="2" max="2" width="7.140625" customWidth="1"/>
    <col min="3" max="3" width="6.28515625" customWidth="1"/>
    <col min="4" max="4" width="15.28515625" customWidth="1"/>
    <col min="5" max="5" width="11.42578125" customWidth="1"/>
    <col min="6" max="6" width="8.28515625" customWidth="1"/>
    <col min="7" max="7" width="9.42578125" style="115" customWidth="1"/>
    <col min="8" max="8" width="5.7109375" style="115" customWidth="1"/>
    <col min="9" max="9" width="7.7109375" style="115" customWidth="1"/>
    <col min="10" max="10" width="8.42578125" style="115" customWidth="1"/>
    <col min="11" max="11" width="7.42578125" style="115" customWidth="1"/>
    <col min="12" max="12" width="30.42578125" customWidth="1"/>
    <col min="13" max="13" width="24.7109375" customWidth="1"/>
    <col min="14" max="14" width="27.42578125" customWidth="1"/>
  </cols>
  <sheetData>
    <row r="1" spans="1:13" x14ac:dyDescent="0.25">
      <c r="A1" s="28" t="s">
        <v>1187</v>
      </c>
      <c r="B1" s="153"/>
      <c r="C1" s="10"/>
      <c r="D1" s="10"/>
    </row>
    <row r="2" spans="1:13" x14ac:dyDescent="0.25">
      <c r="A2" s="14" t="s">
        <v>454</v>
      </c>
      <c r="B2" s="153"/>
      <c r="C2" s="14"/>
      <c r="D2" s="3"/>
    </row>
    <row r="3" spans="1:13" x14ac:dyDescent="0.25">
      <c r="A3" s="87" t="s">
        <v>794</v>
      </c>
      <c r="B3" s="154"/>
      <c r="C3" s="1"/>
      <c r="D3" s="1"/>
    </row>
    <row r="4" spans="1:13" ht="22.5" x14ac:dyDescent="0.25">
      <c r="A4" s="55" t="s">
        <v>0</v>
      </c>
      <c r="B4" s="55" t="s">
        <v>1</v>
      </c>
      <c r="C4" s="55" t="s">
        <v>2</v>
      </c>
      <c r="D4" s="55" t="s">
        <v>3</v>
      </c>
      <c r="E4" s="55" t="s">
        <v>4</v>
      </c>
      <c r="F4" s="55" t="s">
        <v>6</v>
      </c>
      <c r="G4" s="56" t="s">
        <v>7</v>
      </c>
      <c r="H4" s="56" t="s">
        <v>8</v>
      </c>
      <c r="I4" s="55" t="s">
        <v>9</v>
      </c>
      <c r="J4" s="55" t="s">
        <v>10</v>
      </c>
      <c r="K4" s="56" t="s">
        <v>46</v>
      </c>
      <c r="L4" s="56" t="s">
        <v>12</v>
      </c>
      <c r="M4" s="55" t="s">
        <v>13</v>
      </c>
    </row>
    <row r="5" spans="1:13" ht="22.5" x14ac:dyDescent="0.25">
      <c r="A5" s="10" t="s">
        <v>455</v>
      </c>
      <c r="B5" s="10">
        <v>9.1</v>
      </c>
      <c r="C5" s="10" t="s">
        <v>66</v>
      </c>
      <c r="D5" s="2" t="s">
        <v>456</v>
      </c>
      <c r="E5" s="8" t="s">
        <v>457</v>
      </c>
      <c r="F5" s="8" t="s">
        <v>215</v>
      </c>
      <c r="G5" s="42">
        <v>499</v>
      </c>
      <c r="H5" s="43">
        <v>1</v>
      </c>
      <c r="I5" s="43">
        <v>1</v>
      </c>
      <c r="J5" s="44">
        <f>365/7*8</f>
        <v>417.14285714285717</v>
      </c>
      <c r="K5" s="42">
        <f>G5*I5/J5</f>
        <v>1.1962328767123287</v>
      </c>
      <c r="L5" s="8" t="s">
        <v>852</v>
      </c>
      <c r="M5" s="8" t="s">
        <v>851</v>
      </c>
    </row>
    <row r="6" spans="1:13" ht="22.5" x14ac:dyDescent="0.25">
      <c r="A6" s="10" t="s">
        <v>455</v>
      </c>
      <c r="B6" s="10">
        <v>9.1</v>
      </c>
      <c r="C6" s="10" t="s">
        <v>66</v>
      </c>
      <c r="D6" s="2" t="s">
        <v>456</v>
      </c>
      <c r="E6" s="8" t="s">
        <v>911</v>
      </c>
      <c r="F6" s="8" t="s">
        <v>215</v>
      </c>
      <c r="G6" s="42">
        <v>199</v>
      </c>
      <c r="H6" s="43">
        <v>1</v>
      </c>
      <c r="I6" s="43">
        <v>1</v>
      </c>
      <c r="J6" s="44">
        <f>365/7*10</f>
        <v>521.42857142857144</v>
      </c>
      <c r="K6" s="42">
        <f t="shared" ref="K6" si="0">G6*I6/J6</f>
        <v>0.38164383561643833</v>
      </c>
      <c r="L6" s="8" t="s">
        <v>912</v>
      </c>
      <c r="M6" s="8" t="s">
        <v>913</v>
      </c>
    </row>
    <row r="7" spans="1:13" ht="22.5" x14ac:dyDescent="0.25">
      <c r="A7" s="10" t="s">
        <v>455</v>
      </c>
      <c r="B7" s="10">
        <v>9.1</v>
      </c>
      <c r="C7" s="10" t="s">
        <v>66</v>
      </c>
      <c r="D7" s="2" t="s">
        <v>456</v>
      </c>
      <c r="E7" s="8" t="s">
        <v>914</v>
      </c>
      <c r="F7" s="8" t="s">
        <v>215</v>
      </c>
      <c r="G7" s="42">
        <v>29.99</v>
      </c>
      <c r="H7" s="43">
        <v>1</v>
      </c>
      <c r="I7" s="43">
        <v>1</v>
      </c>
      <c r="J7" s="44">
        <f>365/7*10</f>
        <v>521.42857142857144</v>
      </c>
      <c r="K7" s="42">
        <f>G7*I7/J7</f>
        <v>5.7515068493150683E-2</v>
      </c>
      <c r="L7" s="8"/>
      <c r="M7" s="8" t="s">
        <v>915</v>
      </c>
    </row>
    <row r="8" spans="1:13" ht="22.5" x14ac:dyDescent="0.25">
      <c r="A8" s="10" t="s">
        <v>455</v>
      </c>
      <c r="B8" s="10">
        <v>9.1</v>
      </c>
      <c r="C8" s="10" t="s">
        <v>66</v>
      </c>
      <c r="D8" s="76" t="s">
        <v>456</v>
      </c>
      <c r="E8" s="8" t="s">
        <v>466</v>
      </c>
      <c r="F8" s="8" t="s">
        <v>73</v>
      </c>
      <c r="G8" s="42">
        <v>54.99</v>
      </c>
      <c r="H8" s="43">
        <v>1</v>
      </c>
      <c r="I8" s="43">
        <v>2</v>
      </c>
      <c r="J8" s="44">
        <f>365/7*10</f>
        <v>521.42857142857144</v>
      </c>
      <c r="K8" s="42">
        <f>G8*I8/J8</f>
        <v>0.21092054794520548</v>
      </c>
      <c r="L8" s="8" t="s">
        <v>846</v>
      </c>
      <c r="M8" s="155" t="s">
        <v>467</v>
      </c>
    </row>
    <row r="9" spans="1:13" ht="33.75" x14ac:dyDescent="0.25">
      <c r="A9" s="76" t="s">
        <v>455</v>
      </c>
      <c r="B9" s="8">
        <v>9.1</v>
      </c>
      <c r="C9" s="10" t="s">
        <v>66</v>
      </c>
      <c r="D9" s="76" t="s">
        <v>456</v>
      </c>
      <c r="E9" s="76" t="s">
        <v>458</v>
      </c>
      <c r="F9" s="10" t="s">
        <v>215</v>
      </c>
      <c r="G9" s="42">
        <v>299</v>
      </c>
      <c r="H9" s="43">
        <v>1</v>
      </c>
      <c r="I9" s="43">
        <v>1</v>
      </c>
      <c r="J9" s="44">
        <f>365/7*5</f>
        <v>260.71428571428572</v>
      </c>
      <c r="K9" s="58">
        <f t="shared" ref="K9:K18" si="1">G9*I9/J9</f>
        <v>1.1468493150684931</v>
      </c>
      <c r="L9" s="8" t="s">
        <v>854</v>
      </c>
      <c r="M9" s="8" t="s">
        <v>853</v>
      </c>
    </row>
    <row r="10" spans="1:13" ht="22.5" x14ac:dyDescent="0.25">
      <c r="A10" s="76" t="s">
        <v>455</v>
      </c>
      <c r="B10" s="8">
        <v>9.1</v>
      </c>
      <c r="C10" s="10" t="s">
        <v>66</v>
      </c>
      <c r="D10" s="76" t="s">
        <v>456</v>
      </c>
      <c r="E10" s="91" t="s">
        <v>855</v>
      </c>
      <c r="F10" s="10" t="s">
        <v>73</v>
      </c>
      <c r="G10" s="42">
        <v>36.99</v>
      </c>
      <c r="H10" s="43">
        <v>1</v>
      </c>
      <c r="I10" s="43">
        <v>1</v>
      </c>
      <c r="J10" s="44">
        <f>365/7*3</f>
        <v>156.42857142857144</v>
      </c>
      <c r="K10" s="58">
        <f t="shared" si="1"/>
        <v>0.23646575342465753</v>
      </c>
      <c r="L10" s="8" t="s">
        <v>858</v>
      </c>
      <c r="M10" s="8" t="s">
        <v>857</v>
      </c>
    </row>
    <row r="11" spans="1:13" ht="45" x14ac:dyDescent="0.25">
      <c r="A11" s="76" t="s">
        <v>455</v>
      </c>
      <c r="B11" s="8">
        <v>9.1</v>
      </c>
      <c r="C11" s="10" t="s">
        <v>66</v>
      </c>
      <c r="D11" s="76" t="s">
        <v>456</v>
      </c>
      <c r="E11" s="91" t="s">
        <v>856</v>
      </c>
      <c r="F11" s="10" t="s">
        <v>861</v>
      </c>
      <c r="G11" s="42">
        <v>2.99</v>
      </c>
      <c r="H11" s="43">
        <v>1</v>
      </c>
      <c r="I11" s="43">
        <v>1</v>
      </c>
      <c r="J11" s="44">
        <f>365/84</f>
        <v>4.3452380952380949</v>
      </c>
      <c r="K11" s="58">
        <f t="shared" si="1"/>
        <v>0.68810958904109598</v>
      </c>
      <c r="L11" s="8" t="s">
        <v>860</v>
      </c>
      <c r="M11" s="8" t="s">
        <v>859</v>
      </c>
    </row>
    <row r="12" spans="1:13" ht="45" x14ac:dyDescent="0.25">
      <c r="A12" s="76" t="s">
        <v>455</v>
      </c>
      <c r="B12" s="8">
        <v>9.3000000000000007</v>
      </c>
      <c r="C12" s="10" t="s">
        <v>66</v>
      </c>
      <c r="D12" s="76" t="s">
        <v>468</v>
      </c>
      <c r="E12" s="76" t="s">
        <v>460</v>
      </c>
      <c r="F12" s="8"/>
      <c r="G12" s="42">
        <v>200</v>
      </c>
      <c r="H12" s="43">
        <v>1</v>
      </c>
      <c r="I12" s="43">
        <v>1</v>
      </c>
      <c r="J12" s="44">
        <f>365/7</f>
        <v>52.142857142857146</v>
      </c>
      <c r="K12" s="42">
        <f>G12*I12/J12</f>
        <v>3.8356164383561642</v>
      </c>
      <c r="L12" s="8" t="s">
        <v>847</v>
      </c>
      <c r="M12" s="8"/>
    </row>
    <row r="13" spans="1:13" ht="26.1" customHeight="1" x14ac:dyDescent="0.25">
      <c r="A13" s="10" t="s">
        <v>455</v>
      </c>
      <c r="B13" s="10">
        <v>9.3000000000000007</v>
      </c>
      <c r="C13" s="10" t="s">
        <v>66</v>
      </c>
      <c r="D13" s="76" t="s">
        <v>459</v>
      </c>
      <c r="E13" s="76" t="s">
        <v>460</v>
      </c>
      <c r="F13" s="8"/>
      <c r="G13" s="42">
        <v>360</v>
      </c>
      <c r="H13" s="43">
        <v>12</v>
      </c>
      <c r="I13" s="43">
        <v>1</v>
      </c>
      <c r="J13" s="44">
        <f>365/7</f>
        <v>52.142857142857146</v>
      </c>
      <c r="K13" s="42">
        <f>G13*I13/J13</f>
        <v>6.9041095890410951</v>
      </c>
      <c r="L13" s="8" t="s">
        <v>848</v>
      </c>
      <c r="M13" s="8"/>
    </row>
    <row r="14" spans="1:13" ht="20.100000000000001" customHeight="1" x14ac:dyDescent="0.25">
      <c r="A14" s="76" t="s">
        <v>455</v>
      </c>
      <c r="B14" s="8">
        <v>9.3000000000000007</v>
      </c>
      <c r="C14" s="10" t="s">
        <v>66</v>
      </c>
      <c r="D14" s="76" t="s">
        <v>461</v>
      </c>
      <c r="E14" s="76" t="s">
        <v>460</v>
      </c>
      <c r="F14" s="8"/>
      <c r="G14" s="42">
        <v>360</v>
      </c>
      <c r="H14" s="43">
        <v>12</v>
      </c>
      <c r="I14" s="43">
        <v>1</v>
      </c>
      <c r="J14" s="44">
        <f>365/7</f>
        <v>52.142857142857146</v>
      </c>
      <c r="K14" s="42">
        <f>G14*I14/J14</f>
        <v>6.9041095890410951</v>
      </c>
      <c r="L14" s="8" t="s">
        <v>848</v>
      </c>
      <c r="M14" s="143"/>
    </row>
    <row r="15" spans="1:13" x14ac:dyDescent="0.25">
      <c r="A15" s="76" t="s">
        <v>455</v>
      </c>
      <c r="B15" s="8">
        <v>9.3000000000000007</v>
      </c>
      <c r="C15" s="10" t="s">
        <v>66</v>
      </c>
      <c r="D15" s="76" t="s">
        <v>464</v>
      </c>
      <c r="E15" s="8" t="s">
        <v>465</v>
      </c>
      <c r="F15" s="10"/>
      <c r="G15" s="42">
        <v>200</v>
      </c>
      <c r="H15" s="43">
        <v>1</v>
      </c>
      <c r="I15" s="43">
        <v>1</v>
      </c>
      <c r="J15" s="44">
        <f>365/7</f>
        <v>52.142857142857146</v>
      </c>
      <c r="K15" s="42">
        <f>G15*I15/J15</f>
        <v>3.8356164383561642</v>
      </c>
      <c r="L15" s="8" t="s">
        <v>849</v>
      </c>
      <c r="M15" s="143"/>
    </row>
    <row r="16" spans="1:13" ht="67.5" x14ac:dyDescent="0.25">
      <c r="A16" s="76" t="s">
        <v>455</v>
      </c>
      <c r="B16" s="8">
        <v>9.3000000000000007</v>
      </c>
      <c r="C16" s="10" t="s">
        <v>66</v>
      </c>
      <c r="D16" s="76" t="s">
        <v>883</v>
      </c>
      <c r="E16" s="8" t="s">
        <v>465</v>
      </c>
      <c r="F16" s="10"/>
      <c r="G16" s="42">
        <v>1000</v>
      </c>
      <c r="H16" s="43">
        <v>1</v>
      </c>
      <c r="I16" s="43">
        <v>1</v>
      </c>
      <c r="J16" s="44">
        <f>365/7</f>
        <v>52.142857142857146</v>
      </c>
      <c r="K16" s="42">
        <f>G16*I16/J16</f>
        <v>19.17808219178082</v>
      </c>
      <c r="L16" s="8" t="s">
        <v>884</v>
      </c>
      <c r="M16" s="143"/>
    </row>
    <row r="17" spans="1:13" ht="33.75" x14ac:dyDescent="0.25">
      <c r="A17" s="76" t="s">
        <v>455</v>
      </c>
      <c r="B17" s="8">
        <v>9.3000000000000007</v>
      </c>
      <c r="C17" s="10" t="s">
        <v>66</v>
      </c>
      <c r="D17" s="76" t="s">
        <v>469</v>
      </c>
      <c r="E17" s="76" t="s">
        <v>462</v>
      </c>
      <c r="F17" s="8"/>
      <c r="G17" s="42">
        <v>50</v>
      </c>
      <c r="H17" s="43">
        <v>1</v>
      </c>
      <c r="I17" s="43">
        <v>1</v>
      </c>
      <c r="J17" s="44">
        <f>365/7*10</f>
        <v>521.42857142857144</v>
      </c>
      <c r="K17" s="58">
        <f t="shared" si="1"/>
        <v>9.5890410958904104E-2</v>
      </c>
      <c r="L17" s="8" t="s">
        <v>850</v>
      </c>
      <c r="M17" s="8"/>
    </row>
    <row r="18" spans="1:13" ht="22.5" x14ac:dyDescent="0.25">
      <c r="A18" s="76" t="s">
        <v>455</v>
      </c>
      <c r="B18" s="8">
        <v>9.5</v>
      </c>
      <c r="C18" s="10" t="s">
        <v>66</v>
      </c>
      <c r="D18" s="76" t="s">
        <v>470</v>
      </c>
      <c r="E18" s="76" t="s">
        <v>463</v>
      </c>
      <c r="F18" s="8"/>
      <c r="G18" s="42">
        <v>15</v>
      </c>
      <c r="H18" s="43">
        <v>1</v>
      </c>
      <c r="I18" s="43">
        <v>1</v>
      </c>
      <c r="J18" s="44">
        <f>365/7</f>
        <v>52.142857142857146</v>
      </c>
      <c r="K18" s="42">
        <f t="shared" si="1"/>
        <v>0.28767123287671231</v>
      </c>
      <c r="L18" s="8" t="s">
        <v>471</v>
      </c>
      <c r="M18" s="8"/>
    </row>
    <row r="20" spans="1:13" x14ac:dyDescent="0.25">
      <c r="D20" s="32" t="s">
        <v>829</v>
      </c>
      <c r="E20" s="31">
        <f>SUM(K5:K18)</f>
        <v>44.958832876712322</v>
      </c>
    </row>
  </sheetData>
  <phoneticPr fontId="26" type="noConversion"/>
  <printOptions gridLines="1"/>
  <pageMargins left="0.7" right="0.7" top="0.75" bottom="0.75" header="0.3" footer="0.3"/>
  <pageSetup paperSize="9" scale="8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19"/>
  <sheetViews>
    <sheetView view="pageBreakPreview" zoomScaleNormal="70" zoomScaleSheetLayoutView="100" workbookViewId="0"/>
  </sheetViews>
  <sheetFormatPr defaultColWidth="8.85546875" defaultRowHeight="15" x14ac:dyDescent="0.25"/>
  <cols>
    <col min="1" max="1" width="5.85546875" customWidth="1"/>
    <col min="2" max="2" width="7.42578125" customWidth="1"/>
    <col min="3" max="3" width="5" customWidth="1"/>
    <col min="4" max="4" width="16.7109375" customWidth="1"/>
    <col min="5" max="5" width="12.140625" customWidth="1"/>
    <col min="6" max="6" width="14.28515625" customWidth="1"/>
    <col min="7" max="7" width="6.28515625" customWidth="1"/>
    <col min="8" max="8" width="5.7109375" customWidth="1"/>
    <col min="9" max="9" width="7.7109375" customWidth="1"/>
    <col min="10" max="10" width="8.140625" customWidth="1"/>
    <col min="11" max="11" width="7" customWidth="1"/>
    <col min="12" max="12" width="30.7109375" customWidth="1"/>
    <col min="13" max="13" width="35.28515625" customWidth="1"/>
  </cols>
  <sheetData>
    <row r="1" spans="1:13" x14ac:dyDescent="0.25">
      <c r="A1" s="28" t="s">
        <v>1187</v>
      </c>
      <c r="B1" s="14"/>
      <c r="C1" s="10"/>
    </row>
    <row r="2" spans="1:13" x14ac:dyDescent="0.25">
      <c r="A2" s="14" t="s">
        <v>454</v>
      </c>
      <c r="B2" s="14"/>
      <c r="C2" s="14"/>
    </row>
    <row r="3" spans="1:13" x14ac:dyDescent="0.25">
      <c r="A3" s="14" t="s">
        <v>794</v>
      </c>
      <c r="B3" s="14"/>
      <c r="C3" s="14"/>
    </row>
    <row r="4" spans="1:13" ht="22.5" x14ac:dyDescent="0.25">
      <c r="A4" s="6" t="s">
        <v>0</v>
      </c>
      <c r="B4" s="6" t="s">
        <v>1</v>
      </c>
      <c r="C4" s="6" t="s">
        <v>2</v>
      </c>
      <c r="D4" s="6" t="s">
        <v>3</v>
      </c>
      <c r="E4" s="6" t="s">
        <v>4</v>
      </c>
      <c r="F4" s="6" t="s">
        <v>6</v>
      </c>
      <c r="G4" s="7" t="s">
        <v>7</v>
      </c>
      <c r="H4" s="7" t="s">
        <v>8</v>
      </c>
      <c r="I4" s="6" t="s">
        <v>9</v>
      </c>
      <c r="J4" s="6" t="s">
        <v>10</v>
      </c>
      <c r="K4" s="7" t="s">
        <v>46</v>
      </c>
      <c r="L4" s="7" t="s">
        <v>12</v>
      </c>
      <c r="M4" s="6" t="s">
        <v>13</v>
      </c>
    </row>
    <row r="5" spans="1:13" ht="39.75" customHeight="1" x14ac:dyDescent="0.25">
      <c r="A5" s="10" t="s">
        <v>39</v>
      </c>
      <c r="B5" s="10">
        <v>9.4</v>
      </c>
      <c r="C5" s="1" t="s">
        <v>66</v>
      </c>
      <c r="D5" s="10" t="s">
        <v>472</v>
      </c>
      <c r="E5" s="10" t="s">
        <v>472</v>
      </c>
      <c r="F5" s="10" t="s">
        <v>473</v>
      </c>
      <c r="G5" s="94">
        <v>159</v>
      </c>
      <c r="H5" s="61">
        <v>1</v>
      </c>
      <c r="I5" s="97">
        <v>1</v>
      </c>
      <c r="J5" s="97">
        <f>365/7</f>
        <v>52.142857142857146</v>
      </c>
      <c r="K5" s="137">
        <f>G5*I5/J5</f>
        <v>3.0493150684931507</v>
      </c>
      <c r="L5" s="10"/>
      <c r="M5" s="8" t="s">
        <v>862</v>
      </c>
    </row>
    <row r="6" spans="1:13" ht="65.099999999999994" customHeight="1" x14ac:dyDescent="0.25">
      <c r="A6" s="1" t="s">
        <v>474</v>
      </c>
      <c r="B6" s="1">
        <v>8.3000000000000007</v>
      </c>
      <c r="C6" s="54" t="s">
        <v>66</v>
      </c>
      <c r="D6" s="76" t="s">
        <v>476</v>
      </c>
      <c r="E6" s="76" t="s">
        <v>475</v>
      </c>
      <c r="F6" s="76" t="s">
        <v>877</v>
      </c>
      <c r="G6" s="42">
        <v>0</v>
      </c>
      <c r="H6" s="43">
        <v>1</v>
      </c>
      <c r="I6" s="43">
        <v>1</v>
      </c>
      <c r="J6" s="44">
        <v>0</v>
      </c>
      <c r="K6" s="42">
        <v>0</v>
      </c>
      <c r="L6" s="61" t="s">
        <v>878</v>
      </c>
      <c r="M6" s="77" t="s">
        <v>879</v>
      </c>
    </row>
    <row r="7" spans="1:13" ht="51" customHeight="1" x14ac:dyDescent="0.25">
      <c r="A7" s="2" t="s">
        <v>474</v>
      </c>
      <c r="B7" s="3">
        <v>9.4</v>
      </c>
      <c r="C7" s="10" t="s">
        <v>66</v>
      </c>
      <c r="D7" s="2" t="s">
        <v>486</v>
      </c>
      <c r="E7" s="76" t="s">
        <v>477</v>
      </c>
      <c r="F7" s="76" t="s">
        <v>478</v>
      </c>
      <c r="G7" s="137">
        <v>6.99</v>
      </c>
      <c r="H7" s="80">
        <v>1</v>
      </c>
      <c r="I7" s="80">
        <v>1</v>
      </c>
      <c r="J7" s="156">
        <f>365/84*1</f>
        <v>4.3452380952380949</v>
      </c>
      <c r="K7" s="137">
        <f t="shared" ref="K7:K14" si="0">G7*I7/J7</f>
        <v>1.6086575342465754</v>
      </c>
      <c r="L7" s="157"/>
      <c r="M7" s="77" t="s">
        <v>479</v>
      </c>
    </row>
    <row r="8" spans="1:13" ht="51" customHeight="1" x14ac:dyDescent="0.25">
      <c r="A8" s="2" t="s">
        <v>474</v>
      </c>
      <c r="B8" s="3">
        <v>9.4</v>
      </c>
      <c r="C8" s="10" t="s">
        <v>66</v>
      </c>
      <c r="D8" s="2" t="s">
        <v>486</v>
      </c>
      <c r="E8" s="76" t="s">
        <v>863</v>
      </c>
      <c r="F8" s="76" t="s">
        <v>864</v>
      </c>
      <c r="G8" s="137">
        <v>8.99</v>
      </c>
      <c r="H8" s="80">
        <v>1</v>
      </c>
      <c r="I8" s="80">
        <v>1</v>
      </c>
      <c r="J8" s="156">
        <f>365/84*1</f>
        <v>4.3452380952380949</v>
      </c>
      <c r="K8" s="137">
        <f t="shared" ref="K8" si="1">G8*I8/J8</f>
        <v>2.0689315068493155</v>
      </c>
      <c r="L8" s="157"/>
      <c r="M8" s="77" t="s">
        <v>865</v>
      </c>
    </row>
    <row r="9" spans="1:13" ht="67.5" x14ac:dyDescent="0.25">
      <c r="A9" s="61" t="s">
        <v>474</v>
      </c>
      <c r="B9" s="1">
        <v>9.4</v>
      </c>
      <c r="C9" s="54" t="s">
        <v>66</v>
      </c>
      <c r="D9" s="61" t="s">
        <v>476</v>
      </c>
      <c r="E9" s="61" t="s">
        <v>480</v>
      </c>
      <c r="F9" s="1"/>
      <c r="G9" s="158">
        <v>40</v>
      </c>
      <c r="H9" s="112">
        <v>1</v>
      </c>
      <c r="I9" s="112">
        <v>1</v>
      </c>
      <c r="J9" s="159">
        <v>1</v>
      </c>
      <c r="K9" s="137">
        <f t="shared" si="0"/>
        <v>40</v>
      </c>
      <c r="L9" s="1" t="s">
        <v>866</v>
      </c>
      <c r="M9" s="64"/>
    </row>
    <row r="10" spans="1:13" ht="33.75" x14ac:dyDescent="0.25">
      <c r="A10" s="54" t="s">
        <v>481</v>
      </c>
      <c r="B10" s="54">
        <v>9.6</v>
      </c>
      <c r="C10" s="54" t="s">
        <v>66</v>
      </c>
      <c r="D10" s="54" t="s">
        <v>487</v>
      </c>
      <c r="E10" s="1" t="s">
        <v>487</v>
      </c>
      <c r="F10" s="1" t="s">
        <v>873</v>
      </c>
      <c r="G10" s="158">
        <v>1378.9</v>
      </c>
      <c r="H10" s="112">
        <v>1</v>
      </c>
      <c r="I10" s="112">
        <v>1</v>
      </c>
      <c r="J10" s="159">
        <f>365/7</f>
        <v>52.142857142857146</v>
      </c>
      <c r="K10" s="137">
        <f t="shared" si="0"/>
        <v>26.444657534246577</v>
      </c>
      <c r="L10" s="1" t="s">
        <v>872</v>
      </c>
      <c r="M10" s="12" t="s">
        <v>871</v>
      </c>
    </row>
    <row r="11" spans="1:13" ht="22.5" x14ac:dyDescent="0.25">
      <c r="A11" s="54" t="s">
        <v>481</v>
      </c>
      <c r="B11" s="54">
        <v>9.6</v>
      </c>
      <c r="C11" s="54" t="s">
        <v>66</v>
      </c>
      <c r="D11" s="54" t="s">
        <v>487</v>
      </c>
      <c r="E11" s="76" t="s">
        <v>487</v>
      </c>
      <c r="F11" s="8"/>
      <c r="G11" s="137">
        <v>369</v>
      </c>
      <c r="H11" s="80">
        <v>1</v>
      </c>
      <c r="I11" s="80">
        <v>1</v>
      </c>
      <c r="J11" s="159">
        <f>365/7</f>
        <v>52.142857142857146</v>
      </c>
      <c r="K11" s="137">
        <f t="shared" si="0"/>
        <v>7.0767123287671225</v>
      </c>
      <c r="L11" s="8" t="s">
        <v>874</v>
      </c>
      <c r="M11" s="8" t="s">
        <v>876</v>
      </c>
    </row>
    <row r="12" spans="1:13" ht="33.75" x14ac:dyDescent="0.25">
      <c r="A12" s="54" t="s">
        <v>481</v>
      </c>
      <c r="B12" s="54">
        <v>9.4</v>
      </c>
      <c r="C12" s="54" t="s">
        <v>66</v>
      </c>
      <c r="D12" s="54" t="s">
        <v>482</v>
      </c>
      <c r="E12" s="76" t="s">
        <v>483</v>
      </c>
      <c r="F12" s="8"/>
      <c r="G12" s="137">
        <v>300</v>
      </c>
      <c r="H12" s="80"/>
      <c r="I12" s="80">
        <v>1</v>
      </c>
      <c r="J12" s="156">
        <f>365/7</f>
        <v>52.142857142857146</v>
      </c>
      <c r="K12" s="42">
        <f t="shared" si="0"/>
        <v>5.7534246575342465</v>
      </c>
      <c r="L12" s="8" t="s">
        <v>875</v>
      </c>
      <c r="M12" s="143"/>
    </row>
    <row r="13" spans="1:13" x14ac:dyDescent="0.25">
      <c r="A13" s="54" t="s">
        <v>474</v>
      </c>
      <c r="B13" s="54">
        <v>12.7</v>
      </c>
      <c r="C13" s="54" t="s">
        <v>66</v>
      </c>
      <c r="D13" s="1" t="s">
        <v>484</v>
      </c>
      <c r="E13" s="10" t="s">
        <v>485</v>
      </c>
      <c r="F13" s="10"/>
      <c r="G13" s="42">
        <v>93</v>
      </c>
      <c r="H13" s="43">
        <v>1</v>
      </c>
      <c r="I13" s="43">
        <v>1</v>
      </c>
      <c r="J13" s="44">
        <f>365/7*10</f>
        <v>521.42857142857144</v>
      </c>
      <c r="K13" s="42">
        <f t="shared" si="0"/>
        <v>0.17835616438356164</v>
      </c>
      <c r="L13" s="10" t="s">
        <v>867</v>
      </c>
      <c r="M13" s="8" t="s">
        <v>488</v>
      </c>
    </row>
    <row r="14" spans="1:13" ht="22.5" x14ac:dyDescent="0.25">
      <c r="A14" s="54" t="s">
        <v>474</v>
      </c>
      <c r="B14" s="54">
        <v>12.7</v>
      </c>
      <c r="C14" s="54" t="s">
        <v>66</v>
      </c>
      <c r="D14" s="1" t="s">
        <v>484</v>
      </c>
      <c r="E14" s="54" t="s">
        <v>489</v>
      </c>
      <c r="F14" s="1" t="s">
        <v>868</v>
      </c>
      <c r="G14" s="160">
        <v>6</v>
      </c>
      <c r="H14" s="161">
        <v>6</v>
      </c>
      <c r="I14" s="161">
        <v>1</v>
      </c>
      <c r="J14" s="162">
        <f>365/7*10</f>
        <v>521.42857142857144</v>
      </c>
      <c r="K14" s="42">
        <f t="shared" si="0"/>
        <v>1.1506849315068493E-2</v>
      </c>
      <c r="L14" s="1" t="s">
        <v>869</v>
      </c>
      <c r="M14" s="1" t="s">
        <v>870</v>
      </c>
    </row>
    <row r="16" spans="1:13" ht="23.25" x14ac:dyDescent="0.25">
      <c r="D16" s="33" t="s">
        <v>831</v>
      </c>
      <c r="E16" s="151">
        <f>SUM(K6+K7+K8+K9+K13+K14)</f>
        <v>43.867452054794519</v>
      </c>
    </row>
    <row r="17" spans="4:5" ht="23.25" x14ac:dyDescent="0.25">
      <c r="D17" s="163" t="s">
        <v>832</v>
      </c>
      <c r="E17" s="151">
        <f>K5</f>
        <v>3.0493150684931507</v>
      </c>
    </row>
    <row r="18" spans="4:5" x14ac:dyDescent="0.25">
      <c r="D18" s="163" t="s">
        <v>833</v>
      </c>
      <c r="E18" s="151">
        <f>K10</f>
        <v>26.444657534246577</v>
      </c>
    </row>
    <row r="19" spans="4:5" x14ac:dyDescent="0.25">
      <c r="D19" s="163" t="s">
        <v>834</v>
      </c>
      <c r="E19" s="151">
        <f>SUM(K11:K12)</f>
        <v>12.830136986301369</v>
      </c>
    </row>
  </sheetData>
  <phoneticPr fontId="26" type="noConversion"/>
  <printOptions gridLines="1"/>
  <pageMargins left="0.7" right="0.7" top="0.75" bottom="0.75" header="0.3" footer="0.3"/>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M283"/>
  <sheetViews>
    <sheetView view="pageBreakPreview" zoomScaleNormal="100" zoomScaleSheetLayoutView="100" workbookViewId="0"/>
  </sheetViews>
  <sheetFormatPr defaultColWidth="8.7109375" defaultRowHeight="15" x14ac:dyDescent="0.25"/>
  <cols>
    <col min="1" max="1" width="5.85546875" style="38" customWidth="1"/>
    <col min="2" max="2" width="7.140625" style="38" customWidth="1"/>
    <col min="3" max="3" width="6.28515625" style="38" customWidth="1"/>
    <col min="4" max="4" width="28.42578125" style="49" customWidth="1"/>
    <col min="5" max="5" width="11.85546875" style="38" customWidth="1"/>
    <col min="6" max="6" width="8.7109375" style="38" customWidth="1"/>
    <col min="7" max="7" width="7" style="38" customWidth="1"/>
    <col min="8" max="8" width="6.7109375" style="38" customWidth="1"/>
    <col min="9" max="9" width="8.140625" style="38" customWidth="1"/>
    <col min="10" max="10" width="8.42578125" style="38" customWidth="1"/>
    <col min="11" max="11" width="8.28515625" style="38" customWidth="1"/>
    <col min="12" max="12" width="28.42578125" style="38" customWidth="1"/>
    <col min="13" max="13" width="33.7109375" style="38" customWidth="1"/>
    <col min="14" max="16384" width="8.7109375" style="38"/>
  </cols>
  <sheetData>
    <row r="1" spans="1:13" s="25" customFormat="1" x14ac:dyDescent="0.25">
      <c r="A1" s="28" t="s">
        <v>1187</v>
      </c>
      <c r="B1" s="28"/>
      <c r="C1" s="28"/>
      <c r="D1" s="37"/>
    </row>
    <row r="2" spans="1:13" s="25" customFormat="1" x14ac:dyDescent="0.25">
      <c r="A2" s="25" t="s">
        <v>799</v>
      </c>
      <c r="D2" s="37"/>
    </row>
    <row r="3" spans="1:13" s="25" customFormat="1" x14ac:dyDescent="0.25">
      <c r="A3" s="25" t="s">
        <v>794</v>
      </c>
      <c r="D3" s="37"/>
    </row>
    <row r="4" spans="1:13" x14ac:dyDescent="0.25">
      <c r="D4" s="38"/>
    </row>
    <row r="5" spans="1:13" ht="22.5" x14ac:dyDescent="0.25">
      <c r="A5" s="5" t="s">
        <v>0</v>
      </c>
      <c r="B5" s="5" t="s">
        <v>1</v>
      </c>
      <c r="C5" s="5" t="s">
        <v>2</v>
      </c>
      <c r="D5" s="5" t="s">
        <v>4</v>
      </c>
      <c r="E5" s="5" t="s">
        <v>5</v>
      </c>
      <c r="F5" s="5" t="s">
        <v>6</v>
      </c>
      <c r="G5" s="19" t="s">
        <v>7</v>
      </c>
      <c r="H5" s="19" t="s">
        <v>8</v>
      </c>
      <c r="I5" s="5" t="s">
        <v>9</v>
      </c>
      <c r="J5" s="6" t="s">
        <v>10</v>
      </c>
      <c r="K5" s="19" t="s">
        <v>11</v>
      </c>
      <c r="L5" s="19" t="s">
        <v>12</v>
      </c>
      <c r="M5" s="5" t="s">
        <v>13</v>
      </c>
    </row>
    <row r="6" spans="1:13" x14ac:dyDescent="0.25">
      <c r="A6" s="3" t="s">
        <v>519</v>
      </c>
      <c r="B6" s="3">
        <v>1.1000000000000001</v>
      </c>
      <c r="C6" s="3" t="s">
        <v>66</v>
      </c>
      <c r="D6" s="8" t="s">
        <v>520</v>
      </c>
      <c r="E6" s="3" t="s">
        <v>918</v>
      </c>
      <c r="F6" s="3" t="s">
        <v>28</v>
      </c>
      <c r="G6" s="39">
        <v>3.3</v>
      </c>
      <c r="H6" s="40">
        <v>80</v>
      </c>
      <c r="I6" s="40">
        <v>1</v>
      </c>
      <c r="J6" s="41">
        <f>80/35</f>
        <v>2.2857142857142856</v>
      </c>
      <c r="K6" s="42">
        <f t="shared" ref="K6:K69" si="0">G6*I6/J6</f>
        <v>1.4437500000000001</v>
      </c>
      <c r="L6" s="8" t="s">
        <v>521</v>
      </c>
      <c r="M6" s="8" t="s">
        <v>917</v>
      </c>
    </row>
    <row r="7" spans="1:13" x14ac:dyDescent="0.25">
      <c r="A7" s="3" t="s">
        <v>519</v>
      </c>
      <c r="B7" s="3">
        <v>1.1000000000000001</v>
      </c>
      <c r="C7" s="3" t="s">
        <v>66</v>
      </c>
      <c r="D7" s="8" t="s">
        <v>522</v>
      </c>
      <c r="E7" s="3" t="s">
        <v>28</v>
      </c>
      <c r="F7" s="3" t="s">
        <v>28</v>
      </c>
      <c r="G7" s="39">
        <v>5.5</v>
      </c>
      <c r="H7" s="40" t="s">
        <v>523</v>
      </c>
      <c r="I7" s="40">
        <v>1</v>
      </c>
      <c r="J7" s="41">
        <f>200/35</f>
        <v>5.7142857142857144</v>
      </c>
      <c r="K7" s="42">
        <f t="shared" si="0"/>
        <v>0.96250000000000002</v>
      </c>
      <c r="L7" s="8" t="s">
        <v>524</v>
      </c>
      <c r="M7" s="8" t="s">
        <v>919</v>
      </c>
    </row>
    <row r="8" spans="1:13" ht="22.5" x14ac:dyDescent="0.25">
      <c r="A8" s="3" t="s">
        <v>519</v>
      </c>
      <c r="B8" s="3">
        <v>1.1000000000000001</v>
      </c>
      <c r="C8" s="3" t="s">
        <v>66</v>
      </c>
      <c r="D8" s="8" t="s">
        <v>525</v>
      </c>
      <c r="E8" s="3" t="s">
        <v>28</v>
      </c>
      <c r="F8" s="3" t="s">
        <v>28</v>
      </c>
      <c r="G8" s="39">
        <v>1.45</v>
      </c>
      <c r="H8" s="40" t="s">
        <v>526</v>
      </c>
      <c r="I8" s="40">
        <v>1</v>
      </c>
      <c r="J8" s="41">
        <f>2272/2013</f>
        <v>1.1286636860407353</v>
      </c>
      <c r="K8" s="42">
        <f t="shared" si="0"/>
        <v>1.2847051056338026</v>
      </c>
      <c r="L8" s="8" t="s">
        <v>527</v>
      </c>
      <c r="M8" s="8" t="s">
        <v>528</v>
      </c>
    </row>
    <row r="9" spans="1:13" ht="22.5" x14ac:dyDescent="0.25">
      <c r="A9" s="3" t="s">
        <v>519</v>
      </c>
      <c r="B9" s="3">
        <v>1.1000000000000001</v>
      </c>
      <c r="C9" s="3" t="s">
        <v>66</v>
      </c>
      <c r="D9" s="8" t="s">
        <v>529</v>
      </c>
      <c r="E9" s="3" t="s">
        <v>28</v>
      </c>
      <c r="F9" s="3" t="s">
        <v>28</v>
      </c>
      <c r="G9" s="39">
        <v>2</v>
      </c>
      <c r="H9" s="40" t="s">
        <v>530</v>
      </c>
      <c r="I9" s="40">
        <v>1</v>
      </c>
      <c r="J9" s="41">
        <f>100/7</f>
        <v>14.285714285714286</v>
      </c>
      <c r="K9" s="42">
        <f t="shared" si="0"/>
        <v>0.13999999999999999</v>
      </c>
      <c r="L9" s="8" t="s">
        <v>531</v>
      </c>
      <c r="M9" s="8" t="s">
        <v>780</v>
      </c>
    </row>
    <row r="10" spans="1:13" x14ac:dyDescent="0.25">
      <c r="A10" s="3" t="s">
        <v>519</v>
      </c>
      <c r="B10" s="3">
        <v>1.1000000000000001</v>
      </c>
      <c r="C10" s="3" t="s">
        <v>66</v>
      </c>
      <c r="D10" s="8" t="s">
        <v>532</v>
      </c>
      <c r="E10" s="3" t="s">
        <v>28</v>
      </c>
      <c r="F10" s="3" t="s">
        <v>28</v>
      </c>
      <c r="G10" s="39">
        <v>1.2</v>
      </c>
      <c r="H10" s="40" t="s">
        <v>533</v>
      </c>
      <c r="I10" s="40">
        <v>2</v>
      </c>
      <c r="J10" s="41">
        <f>2000/1120</f>
        <v>1.7857142857142858</v>
      </c>
      <c r="K10" s="42">
        <f t="shared" si="0"/>
        <v>1.3439999999999999</v>
      </c>
      <c r="L10" s="8" t="s">
        <v>534</v>
      </c>
      <c r="M10" s="8" t="s">
        <v>535</v>
      </c>
    </row>
    <row r="11" spans="1:13" ht="22.5" x14ac:dyDescent="0.25">
      <c r="A11" s="3" t="s">
        <v>519</v>
      </c>
      <c r="B11" s="3">
        <v>1.1000000000000001</v>
      </c>
      <c r="C11" s="3" t="s">
        <v>66</v>
      </c>
      <c r="D11" s="8" t="s">
        <v>536</v>
      </c>
      <c r="E11" s="3" t="s">
        <v>537</v>
      </c>
      <c r="F11" s="3" t="s">
        <v>28</v>
      </c>
      <c r="G11" s="39">
        <v>1.4</v>
      </c>
      <c r="H11" s="40">
        <v>6</v>
      </c>
      <c r="I11" s="40">
        <v>1</v>
      </c>
      <c r="J11" s="41">
        <v>6</v>
      </c>
      <c r="K11" s="42">
        <f t="shared" si="0"/>
        <v>0.23333333333333331</v>
      </c>
      <c r="L11" s="8" t="s">
        <v>538</v>
      </c>
      <c r="M11" s="8" t="s">
        <v>539</v>
      </c>
    </row>
    <row r="12" spans="1:13" x14ac:dyDescent="0.25">
      <c r="A12" s="3" t="s">
        <v>519</v>
      </c>
      <c r="B12" s="3">
        <v>1.1000000000000001</v>
      </c>
      <c r="C12" s="3" t="s">
        <v>66</v>
      </c>
      <c r="D12" s="3" t="s">
        <v>540</v>
      </c>
      <c r="E12" s="3" t="s">
        <v>541</v>
      </c>
      <c r="F12" s="3" t="s">
        <v>28</v>
      </c>
      <c r="G12" s="39">
        <v>3.5</v>
      </c>
      <c r="H12" s="40">
        <v>24</v>
      </c>
      <c r="I12" s="40">
        <v>1</v>
      </c>
      <c r="J12" s="41">
        <v>6</v>
      </c>
      <c r="K12" s="42">
        <f t="shared" si="0"/>
        <v>0.58333333333333337</v>
      </c>
      <c r="L12" s="8" t="s">
        <v>542</v>
      </c>
      <c r="M12" s="8" t="s">
        <v>954</v>
      </c>
    </row>
    <row r="13" spans="1:13" x14ac:dyDescent="0.25">
      <c r="A13" s="3" t="s">
        <v>519</v>
      </c>
      <c r="B13" s="3">
        <v>1.1000000000000001</v>
      </c>
      <c r="C13" s="3" t="s">
        <v>66</v>
      </c>
      <c r="D13" s="8" t="s">
        <v>543</v>
      </c>
      <c r="E13" s="3" t="s">
        <v>920</v>
      </c>
      <c r="F13" s="3" t="s">
        <v>28</v>
      </c>
      <c r="G13" s="39">
        <v>1.25</v>
      </c>
      <c r="H13" s="40">
        <v>18</v>
      </c>
      <c r="I13" s="40">
        <v>1</v>
      </c>
      <c r="J13" s="41">
        <f>18/8</f>
        <v>2.25</v>
      </c>
      <c r="K13" s="42">
        <f t="shared" si="0"/>
        <v>0.55555555555555558</v>
      </c>
      <c r="L13" s="8" t="s">
        <v>544</v>
      </c>
      <c r="M13" s="3" t="s">
        <v>921</v>
      </c>
    </row>
    <row r="14" spans="1:13" x14ac:dyDescent="0.25">
      <c r="A14" s="3" t="s">
        <v>519</v>
      </c>
      <c r="B14" s="3">
        <v>1.1000000000000001</v>
      </c>
      <c r="C14" s="3" t="s">
        <v>66</v>
      </c>
      <c r="D14" s="8" t="s">
        <v>545</v>
      </c>
      <c r="E14" s="3" t="s">
        <v>28</v>
      </c>
      <c r="F14" s="3" t="s">
        <v>28</v>
      </c>
      <c r="G14" s="39">
        <v>1</v>
      </c>
      <c r="H14" s="40" t="s">
        <v>927</v>
      </c>
      <c r="I14" s="40">
        <v>1</v>
      </c>
      <c r="J14" s="41">
        <f>1000/54</f>
        <v>18.518518518518519</v>
      </c>
      <c r="K14" s="42">
        <f t="shared" si="0"/>
        <v>5.3999999999999999E-2</v>
      </c>
      <c r="L14" s="8" t="s">
        <v>546</v>
      </c>
      <c r="M14" s="3" t="s">
        <v>922</v>
      </c>
    </row>
    <row r="15" spans="1:13" ht="22.5" x14ac:dyDescent="0.25">
      <c r="A15" s="3" t="s">
        <v>519</v>
      </c>
      <c r="B15" s="3">
        <v>1.1000000000000001</v>
      </c>
      <c r="C15" s="3" t="s">
        <v>66</v>
      </c>
      <c r="D15" s="8" t="s">
        <v>547</v>
      </c>
      <c r="E15" s="3" t="s">
        <v>548</v>
      </c>
      <c r="F15" s="3" t="s">
        <v>28</v>
      </c>
      <c r="G15" s="39">
        <v>0.95</v>
      </c>
      <c r="H15" s="40">
        <v>6</v>
      </c>
      <c r="I15" s="40">
        <v>1</v>
      </c>
      <c r="J15" s="41">
        <f>6/3</f>
        <v>2</v>
      </c>
      <c r="K15" s="42">
        <f t="shared" si="0"/>
        <v>0.47499999999999998</v>
      </c>
      <c r="L15" s="8" t="s">
        <v>549</v>
      </c>
      <c r="M15" s="8" t="s">
        <v>550</v>
      </c>
    </row>
    <row r="16" spans="1:13" x14ac:dyDescent="0.25">
      <c r="A16" s="3" t="s">
        <v>519</v>
      </c>
      <c r="B16" s="3">
        <v>1.1000000000000001</v>
      </c>
      <c r="C16" s="3" t="s">
        <v>66</v>
      </c>
      <c r="D16" s="8" t="s">
        <v>551</v>
      </c>
      <c r="E16" s="3" t="s">
        <v>28</v>
      </c>
      <c r="F16" s="3" t="s">
        <v>28</v>
      </c>
      <c r="G16" s="39">
        <v>2.95</v>
      </c>
      <c r="H16" s="40">
        <v>12</v>
      </c>
      <c r="I16" s="40">
        <v>1</v>
      </c>
      <c r="J16" s="41">
        <f>12/6</f>
        <v>2</v>
      </c>
      <c r="K16" s="42">
        <f t="shared" si="0"/>
        <v>1.4750000000000001</v>
      </c>
      <c r="L16" s="8" t="s">
        <v>552</v>
      </c>
      <c r="M16" s="8" t="s">
        <v>553</v>
      </c>
    </row>
    <row r="17" spans="1:13" x14ac:dyDescent="0.25">
      <c r="A17" s="3" t="s">
        <v>519</v>
      </c>
      <c r="B17" s="3">
        <v>1.1000000000000001</v>
      </c>
      <c r="C17" s="3" t="s">
        <v>66</v>
      </c>
      <c r="D17" s="8" t="s">
        <v>554</v>
      </c>
      <c r="E17" s="3" t="s">
        <v>28</v>
      </c>
      <c r="F17" s="3" t="s">
        <v>28</v>
      </c>
      <c r="G17" s="39">
        <v>3.25</v>
      </c>
      <c r="H17" s="40">
        <v>12</v>
      </c>
      <c r="I17" s="40">
        <v>1</v>
      </c>
      <c r="J17" s="41">
        <f>12/1</f>
        <v>12</v>
      </c>
      <c r="K17" s="42">
        <f t="shared" si="0"/>
        <v>0.27083333333333331</v>
      </c>
      <c r="L17" s="8" t="s">
        <v>555</v>
      </c>
      <c r="M17" s="3" t="s">
        <v>923</v>
      </c>
    </row>
    <row r="18" spans="1:13" x14ac:dyDescent="0.25">
      <c r="A18" s="3" t="s">
        <v>519</v>
      </c>
      <c r="B18" s="3">
        <v>1.1000000000000001</v>
      </c>
      <c r="C18" s="3" t="s">
        <v>66</v>
      </c>
      <c r="D18" s="8" t="s">
        <v>556</v>
      </c>
      <c r="E18" s="3" t="s">
        <v>28</v>
      </c>
      <c r="F18" s="3" t="s">
        <v>28</v>
      </c>
      <c r="G18" s="39">
        <v>0.4</v>
      </c>
      <c r="H18" s="40" t="s">
        <v>557</v>
      </c>
      <c r="I18" s="40">
        <v>1</v>
      </c>
      <c r="J18" s="41">
        <v>1</v>
      </c>
      <c r="K18" s="42">
        <f t="shared" si="0"/>
        <v>0.4</v>
      </c>
      <c r="L18" s="8" t="s">
        <v>558</v>
      </c>
      <c r="M18" s="8" t="s">
        <v>559</v>
      </c>
    </row>
    <row r="19" spans="1:13" ht="22.5" x14ac:dyDescent="0.25">
      <c r="A19" s="3" t="s">
        <v>519</v>
      </c>
      <c r="B19" s="3">
        <v>1.1000000000000001</v>
      </c>
      <c r="C19" s="3" t="s">
        <v>66</v>
      </c>
      <c r="D19" s="8" t="s">
        <v>560</v>
      </c>
      <c r="E19" s="3" t="s">
        <v>28</v>
      </c>
      <c r="F19" s="3" t="s">
        <v>28</v>
      </c>
      <c r="G19" s="39">
        <v>2</v>
      </c>
      <c r="H19" s="40">
        <v>10</v>
      </c>
      <c r="I19" s="40">
        <v>1</v>
      </c>
      <c r="J19" s="41">
        <f>10/1.5</f>
        <v>6.666666666666667</v>
      </c>
      <c r="K19" s="42">
        <f t="shared" si="0"/>
        <v>0.3</v>
      </c>
      <c r="L19" s="8" t="s">
        <v>561</v>
      </c>
      <c r="M19" s="8" t="s">
        <v>924</v>
      </c>
    </row>
    <row r="20" spans="1:13" x14ac:dyDescent="0.25">
      <c r="A20" s="3" t="s">
        <v>519</v>
      </c>
      <c r="B20" s="3">
        <v>1.1000000000000001</v>
      </c>
      <c r="C20" s="3" t="s">
        <v>66</v>
      </c>
      <c r="D20" s="8" t="s">
        <v>562</v>
      </c>
      <c r="E20" s="3" t="s">
        <v>28</v>
      </c>
      <c r="F20" s="3" t="s">
        <v>28</v>
      </c>
      <c r="G20" s="39">
        <v>6.85</v>
      </c>
      <c r="H20" s="40" t="s">
        <v>533</v>
      </c>
      <c r="I20" s="40">
        <v>1</v>
      </c>
      <c r="J20" s="41">
        <f>1000/105</f>
        <v>9.5238095238095237</v>
      </c>
      <c r="K20" s="42">
        <f t="shared" si="0"/>
        <v>0.71924999999999994</v>
      </c>
      <c r="L20" s="8" t="s">
        <v>563</v>
      </c>
      <c r="M20" s="8" t="s">
        <v>564</v>
      </c>
    </row>
    <row r="21" spans="1:13" ht="22.5" x14ac:dyDescent="0.25">
      <c r="A21" s="3" t="s">
        <v>519</v>
      </c>
      <c r="B21" s="3">
        <v>1.1000000000000001</v>
      </c>
      <c r="C21" s="3" t="s">
        <v>66</v>
      </c>
      <c r="D21" s="8" t="s">
        <v>565</v>
      </c>
      <c r="E21" s="3" t="s">
        <v>926</v>
      </c>
      <c r="F21" s="3" t="s">
        <v>28</v>
      </c>
      <c r="G21" s="39">
        <v>3.25</v>
      </c>
      <c r="H21" s="40" t="s">
        <v>927</v>
      </c>
      <c r="I21" s="40">
        <v>1</v>
      </c>
      <c r="J21" s="41">
        <f>1000/203</f>
        <v>4.9261083743842367</v>
      </c>
      <c r="K21" s="42">
        <f t="shared" si="0"/>
        <v>0.65974999999999995</v>
      </c>
      <c r="L21" s="8" t="s">
        <v>567</v>
      </c>
      <c r="M21" s="8" t="s">
        <v>925</v>
      </c>
    </row>
    <row r="22" spans="1:13" x14ac:dyDescent="0.25">
      <c r="A22" s="3" t="s">
        <v>519</v>
      </c>
      <c r="B22" s="3">
        <v>1.1000000000000001</v>
      </c>
      <c r="C22" s="3" t="s">
        <v>66</v>
      </c>
      <c r="D22" s="8" t="s">
        <v>568</v>
      </c>
      <c r="E22" s="3" t="s">
        <v>568</v>
      </c>
      <c r="F22" s="3" t="s">
        <v>28</v>
      </c>
      <c r="G22" s="39">
        <v>2.2999999999999998</v>
      </c>
      <c r="H22" s="40" t="s">
        <v>569</v>
      </c>
      <c r="I22" s="40">
        <v>1</v>
      </c>
      <c r="J22" s="41">
        <f>125/16</f>
        <v>7.8125</v>
      </c>
      <c r="K22" s="42">
        <f t="shared" si="0"/>
        <v>0.2944</v>
      </c>
      <c r="L22" s="8" t="s">
        <v>570</v>
      </c>
      <c r="M22" s="8" t="s">
        <v>571</v>
      </c>
    </row>
    <row r="23" spans="1:13" ht="24" customHeight="1" x14ac:dyDescent="0.25">
      <c r="A23" s="3" t="s">
        <v>519</v>
      </c>
      <c r="B23" s="3">
        <v>1.1000000000000001</v>
      </c>
      <c r="C23" s="3" t="s">
        <v>66</v>
      </c>
      <c r="D23" s="8" t="s">
        <v>572</v>
      </c>
      <c r="E23" s="3" t="s">
        <v>28</v>
      </c>
      <c r="F23" s="3" t="s">
        <v>28</v>
      </c>
      <c r="G23" s="39">
        <v>1.8</v>
      </c>
      <c r="H23" s="40">
        <v>340</v>
      </c>
      <c r="I23" s="40">
        <v>1</v>
      </c>
      <c r="J23" s="41">
        <f>340/30</f>
        <v>11.333333333333334</v>
      </c>
      <c r="K23" s="42">
        <f t="shared" si="0"/>
        <v>0.1588235294117647</v>
      </c>
      <c r="L23" s="8" t="s">
        <v>573</v>
      </c>
      <c r="M23" s="8" t="s">
        <v>928</v>
      </c>
    </row>
    <row r="24" spans="1:13" x14ac:dyDescent="0.25">
      <c r="A24" s="3" t="s">
        <v>519</v>
      </c>
      <c r="B24" s="3">
        <v>1.1000000000000001</v>
      </c>
      <c r="C24" s="3" t="s">
        <v>66</v>
      </c>
      <c r="D24" s="8" t="s">
        <v>574</v>
      </c>
      <c r="E24" s="3" t="s">
        <v>28</v>
      </c>
      <c r="F24" s="3" t="s">
        <v>28</v>
      </c>
      <c r="G24" s="39">
        <v>0.7</v>
      </c>
      <c r="H24" s="40">
        <v>28</v>
      </c>
      <c r="I24" s="40">
        <v>1</v>
      </c>
      <c r="J24" s="41">
        <f>28/14</f>
        <v>2</v>
      </c>
      <c r="K24" s="42">
        <f t="shared" si="0"/>
        <v>0.35</v>
      </c>
      <c r="L24" s="8" t="s">
        <v>575</v>
      </c>
      <c r="M24" s="3" t="s">
        <v>576</v>
      </c>
    </row>
    <row r="25" spans="1:13" ht="22.5" x14ac:dyDescent="0.25">
      <c r="A25" s="3" t="s">
        <v>519</v>
      </c>
      <c r="B25" s="3">
        <v>1.1000000000000001</v>
      </c>
      <c r="C25" s="3" t="s">
        <v>66</v>
      </c>
      <c r="D25" s="8" t="s">
        <v>577</v>
      </c>
      <c r="E25" s="3" t="s">
        <v>28</v>
      </c>
      <c r="F25" s="3" t="s">
        <v>28</v>
      </c>
      <c r="G25" s="39">
        <v>1.35</v>
      </c>
      <c r="H25" s="40" t="s">
        <v>578</v>
      </c>
      <c r="I25" s="40">
        <v>1</v>
      </c>
      <c r="J25" s="41">
        <f>7/4</f>
        <v>1.75</v>
      </c>
      <c r="K25" s="42">
        <f t="shared" si="0"/>
        <v>0.77142857142857146</v>
      </c>
      <c r="L25" s="8" t="s">
        <v>579</v>
      </c>
      <c r="M25" s="8" t="s">
        <v>929</v>
      </c>
    </row>
    <row r="26" spans="1:13" x14ac:dyDescent="0.25">
      <c r="A26" s="3" t="s">
        <v>519</v>
      </c>
      <c r="B26" s="3">
        <v>1.1000000000000001</v>
      </c>
      <c r="C26" s="3" t="s">
        <v>66</v>
      </c>
      <c r="D26" s="8" t="s">
        <v>580</v>
      </c>
      <c r="E26" s="3" t="s">
        <v>28</v>
      </c>
      <c r="F26" s="3" t="s">
        <v>28</v>
      </c>
      <c r="G26" s="39">
        <v>0.14000000000000001</v>
      </c>
      <c r="H26" s="40">
        <v>1</v>
      </c>
      <c r="I26" s="40">
        <v>1</v>
      </c>
      <c r="J26" s="41">
        <v>1</v>
      </c>
      <c r="K26" s="42">
        <f t="shared" si="0"/>
        <v>0.14000000000000001</v>
      </c>
      <c r="L26" s="8" t="s">
        <v>581</v>
      </c>
      <c r="M26" s="8" t="s">
        <v>582</v>
      </c>
    </row>
    <row r="27" spans="1:13" x14ac:dyDescent="0.25">
      <c r="A27" s="3" t="s">
        <v>519</v>
      </c>
      <c r="B27" s="3">
        <v>1.1000000000000001</v>
      </c>
      <c r="C27" s="3" t="s">
        <v>66</v>
      </c>
      <c r="D27" s="8" t="s">
        <v>583</v>
      </c>
      <c r="E27" s="3" t="s">
        <v>28</v>
      </c>
      <c r="F27" s="3" t="s">
        <v>28</v>
      </c>
      <c r="G27" s="39">
        <v>0.49</v>
      </c>
      <c r="H27" s="40">
        <v>1</v>
      </c>
      <c r="I27" s="40">
        <v>1</v>
      </c>
      <c r="J27" s="41">
        <v>1</v>
      </c>
      <c r="K27" s="40">
        <f t="shared" si="0"/>
        <v>0.49</v>
      </c>
      <c r="L27" s="8" t="s">
        <v>584</v>
      </c>
      <c r="M27" s="3" t="s">
        <v>956</v>
      </c>
    </row>
    <row r="28" spans="1:13" x14ac:dyDescent="0.25">
      <c r="A28" s="3" t="s">
        <v>519</v>
      </c>
      <c r="B28" s="3">
        <v>1.1000000000000001</v>
      </c>
      <c r="C28" s="3" t="s">
        <v>66</v>
      </c>
      <c r="D28" s="8" t="s">
        <v>585</v>
      </c>
      <c r="E28" s="3" t="s">
        <v>28</v>
      </c>
      <c r="F28" s="3" t="s">
        <v>28</v>
      </c>
      <c r="G28" s="39">
        <v>0.42</v>
      </c>
      <c r="H28" s="40">
        <v>1</v>
      </c>
      <c r="I28" s="40">
        <v>3</v>
      </c>
      <c r="J28" s="41">
        <v>1</v>
      </c>
      <c r="K28" s="40">
        <f t="shared" si="0"/>
        <v>1.26</v>
      </c>
      <c r="L28" s="8" t="s">
        <v>586</v>
      </c>
      <c r="M28" s="8" t="s">
        <v>955</v>
      </c>
    </row>
    <row r="29" spans="1:13" ht="22.5" x14ac:dyDescent="0.25">
      <c r="A29" s="3" t="s">
        <v>519</v>
      </c>
      <c r="B29" s="3">
        <v>1.1000000000000001</v>
      </c>
      <c r="C29" s="3" t="s">
        <v>66</v>
      </c>
      <c r="D29" s="8" t="s">
        <v>587</v>
      </c>
      <c r="E29" s="3" t="s">
        <v>28</v>
      </c>
      <c r="F29" s="3" t="s">
        <v>28</v>
      </c>
      <c r="G29" s="39">
        <v>0.55000000000000004</v>
      </c>
      <c r="H29" s="40">
        <v>1</v>
      </c>
      <c r="I29" s="40">
        <v>2</v>
      </c>
      <c r="J29" s="41">
        <v>1</v>
      </c>
      <c r="K29" s="39">
        <f t="shared" si="0"/>
        <v>1.1000000000000001</v>
      </c>
      <c r="L29" s="8" t="s">
        <v>588</v>
      </c>
      <c r="M29" s="8" t="s">
        <v>589</v>
      </c>
    </row>
    <row r="30" spans="1:13" x14ac:dyDescent="0.25">
      <c r="A30" s="3" t="s">
        <v>519</v>
      </c>
      <c r="B30" s="3">
        <v>1.1000000000000001</v>
      </c>
      <c r="C30" s="3" t="s">
        <v>66</v>
      </c>
      <c r="D30" s="8" t="s">
        <v>590</v>
      </c>
      <c r="E30" s="3" t="s">
        <v>28</v>
      </c>
      <c r="F30" s="3" t="s">
        <v>28</v>
      </c>
      <c r="G30" s="39">
        <v>3.25</v>
      </c>
      <c r="H30" s="40" t="s">
        <v>591</v>
      </c>
      <c r="I30" s="40">
        <v>1</v>
      </c>
      <c r="J30" s="41">
        <v>1</v>
      </c>
      <c r="K30" s="39">
        <f t="shared" si="0"/>
        <v>3.25</v>
      </c>
      <c r="L30" s="8" t="s">
        <v>592</v>
      </c>
      <c r="M30" s="8" t="s">
        <v>593</v>
      </c>
    </row>
    <row r="31" spans="1:13" x14ac:dyDescent="0.25">
      <c r="A31" s="3" t="s">
        <v>519</v>
      </c>
      <c r="B31" s="3">
        <v>1.1000000000000001</v>
      </c>
      <c r="C31" s="3" t="s">
        <v>66</v>
      </c>
      <c r="D31" s="8" t="s">
        <v>594</v>
      </c>
      <c r="E31" s="3" t="s">
        <v>28</v>
      </c>
      <c r="F31" s="3" t="s">
        <v>28</v>
      </c>
      <c r="G31" s="39">
        <v>2.6</v>
      </c>
      <c r="H31" s="40" t="s">
        <v>595</v>
      </c>
      <c r="I31" s="40">
        <v>1</v>
      </c>
      <c r="J31" s="41">
        <v>1</v>
      </c>
      <c r="K31" s="39">
        <f t="shared" si="0"/>
        <v>2.6</v>
      </c>
      <c r="L31" s="8" t="s">
        <v>596</v>
      </c>
      <c r="M31" s="8" t="s">
        <v>597</v>
      </c>
    </row>
    <row r="32" spans="1:13" ht="22.5" x14ac:dyDescent="0.25">
      <c r="A32" s="3" t="s">
        <v>519</v>
      </c>
      <c r="B32" s="3">
        <v>1.1000000000000001</v>
      </c>
      <c r="C32" s="3" t="s">
        <v>66</v>
      </c>
      <c r="D32" s="8" t="s">
        <v>598</v>
      </c>
      <c r="E32" s="3" t="s">
        <v>28</v>
      </c>
      <c r="F32" s="3" t="s">
        <v>28</v>
      </c>
      <c r="G32" s="39">
        <v>4</v>
      </c>
      <c r="H32" s="40" t="s">
        <v>599</v>
      </c>
      <c r="I32" s="40">
        <v>1</v>
      </c>
      <c r="J32" s="41">
        <v>5</v>
      </c>
      <c r="K32" s="39">
        <f t="shared" si="0"/>
        <v>0.8</v>
      </c>
      <c r="L32" s="8" t="s">
        <v>600</v>
      </c>
      <c r="M32" s="8" t="s">
        <v>601</v>
      </c>
    </row>
    <row r="33" spans="1:13" ht="22.5" x14ac:dyDescent="0.25">
      <c r="A33" s="3" t="s">
        <v>519</v>
      </c>
      <c r="B33" s="3">
        <v>1.1000000000000001</v>
      </c>
      <c r="C33" s="3" t="s">
        <v>66</v>
      </c>
      <c r="D33" s="8" t="s">
        <v>602</v>
      </c>
      <c r="E33" s="3" t="s">
        <v>28</v>
      </c>
      <c r="F33" s="3" t="s">
        <v>28</v>
      </c>
      <c r="G33" s="39">
        <v>5.7</v>
      </c>
      <c r="H33" s="40" t="s">
        <v>566</v>
      </c>
      <c r="I33" s="40">
        <v>1</v>
      </c>
      <c r="J33" s="41">
        <f>500/125</f>
        <v>4</v>
      </c>
      <c r="K33" s="39">
        <f t="shared" si="0"/>
        <v>1.425</v>
      </c>
      <c r="L33" s="8" t="s">
        <v>603</v>
      </c>
      <c r="M33" s="8" t="s">
        <v>604</v>
      </c>
    </row>
    <row r="34" spans="1:13" ht="22.5" x14ac:dyDescent="0.25">
      <c r="A34" s="3" t="s">
        <v>519</v>
      </c>
      <c r="B34" s="3">
        <v>1.1000000000000001</v>
      </c>
      <c r="C34" s="3" t="s">
        <v>66</v>
      </c>
      <c r="D34" s="8" t="s">
        <v>605</v>
      </c>
      <c r="E34" s="3" t="s">
        <v>28</v>
      </c>
      <c r="F34" s="3" t="s">
        <v>28</v>
      </c>
      <c r="G34" s="39">
        <v>0.8</v>
      </c>
      <c r="H34" s="40">
        <v>1</v>
      </c>
      <c r="I34" s="40">
        <v>2</v>
      </c>
      <c r="J34" s="41">
        <f>4/3</f>
        <v>1.3333333333333333</v>
      </c>
      <c r="K34" s="39">
        <f t="shared" si="0"/>
        <v>1.2000000000000002</v>
      </c>
      <c r="L34" s="8" t="s">
        <v>606</v>
      </c>
      <c r="M34" s="8" t="s">
        <v>930</v>
      </c>
    </row>
    <row r="35" spans="1:13" x14ac:dyDescent="0.25">
      <c r="A35" s="3" t="s">
        <v>519</v>
      </c>
      <c r="B35" s="3">
        <v>1.1000000000000001</v>
      </c>
      <c r="C35" s="3" t="s">
        <v>66</v>
      </c>
      <c r="D35" s="8" t="s">
        <v>607</v>
      </c>
      <c r="E35" s="3" t="s">
        <v>608</v>
      </c>
      <c r="F35" s="3" t="s">
        <v>28</v>
      </c>
      <c r="G35" s="39">
        <v>1.1499999999999999</v>
      </c>
      <c r="H35" s="40" t="s">
        <v>609</v>
      </c>
      <c r="I35" s="40">
        <v>1</v>
      </c>
      <c r="J35" s="41">
        <v>1</v>
      </c>
      <c r="K35" s="39">
        <f t="shared" si="0"/>
        <v>1.1499999999999999</v>
      </c>
      <c r="L35" s="8" t="s">
        <v>610</v>
      </c>
      <c r="M35" s="8" t="s">
        <v>611</v>
      </c>
    </row>
    <row r="36" spans="1:13" ht="22.5" x14ac:dyDescent="0.25">
      <c r="A36" s="3" t="s">
        <v>519</v>
      </c>
      <c r="B36" s="3">
        <v>1.1000000000000001</v>
      </c>
      <c r="C36" s="3" t="s">
        <v>66</v>
      </c>
      <c r="D36" s="8" t="s">
        <v>612</v>
      </c>
      <c r="E36" s="3" t="s">
        <v>28</v>
      </c>
      <c r="F36" s="3" t="s">
        <v>28</v>
      </c>
      <c r="G36" s="39">
        <v>3.49</v>
      </c>
      <c r="H36" s="40" t="s">
        <v>566</v>
      </c>
      <c r="I36" s="40">
        <v>1</v>
      </c>
      <c r="J36" s="41">
        <f>500/125</f>
        <v>4</v>
      </c>
      <c r="K36" s="39">
        <f t="shared" si="0"/>
        <v>0.87250000000000005</v>
      </c>
      <c r="L36" s="8" t="s">
        <v>603</v>
      </c>
      <c r="M36" s="8" t="s">
        <v>613</v>
      </c>
    </row>
    <row r="37" spans="1:13" ht="22.5" x14ac:dyDescent="0.25">
      <c r="A37" s="3" t="s">
        <v>519</v>
      </c>
      <c r="B37" s="3">
        <v>1.1000000000000001</v>
      </c>
      <c r="C37" s="3" t="s">
        <v>66</v>
      </c>
      <c r="D37" s="8" t="s">
        <v>614</v>
      </c>
      <c r="E37" s="3" t="s">
        <v>28</v>
      </c>
      <c r="F37" s="3" t="s">
        <v>28</v>
      </c>
      <c r="G37" s="39">
        <v>3.4</v>
      </c>
      <c r="H37" s="40">
        <v>2</v>
      </c>
      <c r="I37" s="40">
        <v>1</v>
      </c>
      <c r="J37" s="41">
        <v>2</v>
      </c>
      <c r="K37" s="39">
        <f t="shared" si="0"/>
        <v>1.7</v>
      </c>
      <c r="L37" s="8" t="s">
        <v>615</v>
      </c>
      <c r="M37" s="8" t="s">
        <v>931</v>
      </c>
    </row>
    <row r="38" spans="1:13" x14ac:dyDescent="0.25">
      <c r="A38" s="3" t="s">
        <v>519</v>
      </c>
      <c r="B38" s="3">
        <v>1.1000000000000001</v>
      </c>
      <c r="C38" s="3" t="s">
        <v>66</v>
      </c>
      <c r="D38" s="8" t="s">
        <v>616</v>
      </c>
      <c r="E38" s="3" t="s">
        <v>28</v>
      </c>
      <c r="F38" s="3" t="s">
        <v>28</v>
      </c>
      <c r="G38" s="39">
        <v>3.75</v>
      </c>
      <c r="H38" s="40" t="s">
        <v>617</v>
      </c>
      <c r="I38" s="40">
        <v>1</v>
      </c>
      <c r="J38" s="41">
        <v>2</v>
      </c>
      <c r="K38" s="39">
        <f t="shared" si="0"/>
        <v>1.875</v>
      </c>
      <c r="L38" s="8" t="s">
        <v>618</v>
      </c>
      <c r="M38" s="8" t="s">
        <v>619</v>
      </c>
    </row>
    <row r="39" spans="1:13" x14ac:dyDescent="0.25">
      <c r="A39" s="3" t="s">
        <v>519</v>
      </c>
      <c r="B39" s="3">
        <v>1.1000000000000001</v>
      </c>
      <c r="C39" s="3" t="s">
        <v>66</v>
      </c>
      <c r="D39" s="8" t="s">
        <v>620</v>
      </c>
      <c r="E39" s="3" t="s">
        <v>28</v>
      </c>
      <c r="F39" s="3" t="s">
        <v>28</v>
      </c>
      <c r="G39" s="39">
        <v>3.5</v>
      </c>
      <c r="H39" s="40" t="s">
        <v>621</v>
      </c>
      <c r="I39" s="40">
        <v>1</v>
      </c>
      <c r="J39" s="41">
        <v>1</v>
      </c>
      <c r="K39" s="39">
        <f t="shared" si="0"/>
        <v>3.5</v>
      </c>
      <c r="L39" s="8" t="s">
        <v>622</v>
      </c>
      <c r="M39" s="8" t="s">
        <v>932</v>
      </c>
    </row>
    <row r="40" spans="1:13" ht="23.1" customHeight="1" x14ac:dyDescent="0.25">
      <c r="A40" s="3" t="s">
        <v>519</v>
      </c>
      <c r="B40" s="3">
        <v>1.1000000000000001</v>
      </c>
      <c r="C40" s="3" t="s">
        <v>66</v>
      </c>
      <c r="D40" s="8" t="s">
        <v>623</v>
      </c>
      <c r="E40" s="3" t="s">
        <v>28</v>
      </c>
      <c r="F40" s="3" t="s">
        <v>28</v>
      </c>
      <c r="G40" s="39">
        <v>3</v>
      </c>
      <c r="H40" s="40" t="s">
        <v>730</v>
      </c>
      <c r="I40" s="40">
        <v>1</v>
      </c>
      <c r="J40" s="41">
        <f>400/90</f>
        <v>4.4444444444444446</v>
      </c>
      <c r="K40" s="39">
        <f t="shared" si="0"/>
        <v>0.67499999999999993</v>
      </c>
      <c r="L40" s="8" t="s">
        <v>592</v>
      </c>
      <c r="M40" s="8" t="s">
        <v>957</v>
      </c>
    </row>
    <row r="41" spans="1:13" x14ac:dyDescent="0.25">
      <c r="A41" s="3" t="s">
        <v>519</v>
      </c>
      <c r="B41" s="3">
        <v>1.1000000000000001</v>
      </c>
      <c r="C41" s="3" t="s">
        <v>66</v>
      </c>
      <c r="D41" s="8" t="s">
        <v>624</v>
      </c>
      <c r="E41" s="3" t="s">
        <v>28</v>
      </c>
      <c r="F41" s="3" t="s">
        <v>28</v>
      </c>
      <c r="G41" s="39">
        <v>0.95</v>
      </c>
      <c r="H41" s="40" t="s">
        <v>927</v>
      </c>
      <c r="I41" s="40">
        <v>1</v>
      </c>
      <c r="J41" s="41">
        <f>1000/363</f>
        <v>2.7548209366391183</v>
      </c>
      <c r="K41" s="39">
        <f t="shared" si="0"/>
        <v>0.34484999999999999</v>
      </c>
      <c r="L41" s="8" t="s">
        <v>625</v>
      </c>
      <c r="M41" s="2" t="s">
        <v>933</v>
      </c>
    </row>
    <row r="42" spans="1:13" x14ac:dyDescent="0.25">
      <c r="A42" s="3" t="s">
        <v>519</v>
      </c>
      <c r="B42" s="3">
        <v>1.1000000000000001</v>
      </c>
      <c r="C42" s="3" t="s">
        <v>66</v>
      </c>
      <c r="D42" s="8" t="s">
        <v>626</v>
      </c>
      <c r="E42" s="3" t="s">
        <v>28</v>
      </c>
      <c r="F42" s="3" t="s">
        <v>28</v>
      </c>
      <c r="G42" s="39">
        <v>0.21</v>
      </c>
      <c r="H42" s="40" t="s">
        <v>627</v>
      </c>
      <c r="I42" s="40">
        <v>1</v>
      </c>
      <c r="J42" s="41">
        <v>1</v>
      </c>
      <c r="K42" s="39">
        <f t="shared" si="0"/>
        <v>0.21</v>
      </c>
      <c r="L42" s="8" t="s">
        <v>628</v>
      </c>
      <c r="M42" s="8" t="s">
        <v>934</v>
      </c>
    </row>
    <row r="43" spans="1:13" ht="22.5" x14ac:dyDescent="0.25">
      <c r="A43" s="3" t="s">
        <v>519</v>
      </c>
      <c r="B43" s="3">
        <v>1.1000000000000001</v>
      </c>
      <c r="C43" s="3" t="s">
        <v>66</v>
      </c>
      <c r="D43" s="8" t="s">
        <v>629</v>
      </c>
      <c r="E43" s="3" t="s">
        <v>28</v>
      </c>
      <c r="F43" s="3" t="s">
        <v>28</v>
      </c>
      <c r="G43" s="39">
        <v>1.0900000000000001</v>
      </c>
      <c r="H43" s="40" t="s">
        <v>599</v>
      </c>
      <c r="I43" s="40">
        <v>1</v>
      </c>
      <c r="J43" s="41">
        <f>1000/360</f>
        <v>2.7777777777777777</v>
      </c>
      <c r="K43" s="39">
        <f t="shared" si="0"/>
        <v>0.39240000000000003</v>
      </c>
      <c r="L43" s="8" t="s">
        <v>630</v>
      </c>
      <c r="M43" s="8" t="s">
        <v>631</v>
      </c>
    </row>
    <row r="44" spans="1:13" ht="22.5" x14ac:dyDescent="0.25">
      <c r="A44" s="3" t="s">
        <v>519</v>
      </c>
      <c r="B44" s="3">
        <v>1.1000000000000001</v>
      </c>
      <c r="C44" s="3" t="s">
        <v>66</v>
      </c>
      <c r="D44" s="8" t="s">
        <v>632</v>
      </c>
      <c r="E44" s="3" t="s">
        <v>28</v>
      </c>
      <c r="F44" s="3" t="s">
        <v>28</v>
      </c>
      <c r="G44" s="39">
        <v>0.75</v>
      </c>
      <c r="H44" s="40" t="s">
        <v>633</v>
      </c>
      <c r="I44" s="40">
        <v>1</v>
      </c>
      <c r="J44" s="41">
        <v>2</v>
      </c>
      <c r="K44" s="39">
        <f t="shared" si="0"/>
        <v>0.375</v>
      </c>
      <c r="L44" s="8" t="s">
        <v>634</v>
      </c>
      <c r="M44" s="2" t="s">
        <v>935</v>
      </c>
    </row>
    <row r="45" spans="1:13" x14ac:dyDescent="0.25">
      <c r="A45" s="3" t="s">
        <v>519</v>
      </c>
      <c r="B45" s="3">
        <v>1.1000000000000001</v>
      </c>
      <c r="C45" s="3" t="s">
        <v>66</v>
      </c>
      <c r="D45" s="8" t="s">
        <v>635</v>
      </c>
      <c r="E45" s="3" t="s">
        <v>28</v>
      </c>
      <c r="F45" s="3" t="s">
        <v>28</v>
      </c>
      <c r="G45" s="39">
        <v>0.6</v>
      </c>
      <c r="H45" s="40" t="s">
        <v>636</v>
      </c>
      <c r="I45" s="40">
        <v>1</v>
      </c>
      <c r="J45" s="41">
        <v>1</v>
      </c>
      <c r="K45" s="39">
        <f t="shared" si="0"/>
        <v>0.6</v>
      </c>
      <c r="L45" s="8" t="s">
        <v>637</v>
      </c>
      <c r="M45" s="2" t="s">
        <v>936</v>
      </c>
    </row>
    <row r="46" spans="1:13" x14ac:dyDescent="0.25">
      <c r="A46" s="3" t="s">
        <v>519</v>
      </c>
      <c r="B46" s="3">
        <v>1.1000000000000001</v>
      </c>
      <c r="C46" s="3" t="s">
        <v>66</v>
      </c>
      <c r="D46" s="8" t="s">
        <v>638</v>
      </c>
      <c r="E46" s="3" t="s">
        <v>639</v>
      </c>
      <c r="F46" s="3" t="s">
        <v>28</v>
      </c>
      <c r="G46" s="39">
        <v>1.35</v>
      </c>
      <c r="H46" s="40" t="s">
        <v>938</v>
      </c>
      <c r="I46" s="40">
        <v>1</v>
      </c>
      <c r="J46" s="41">
        <v>1</v>
      </c>
      <c r="K46" s="39">
        <f t="shared" si="0"/>
        <v>1.35</v>
      </c>
      <c r="L46" s="8" t="s">
        <v>558</v>
      </c>
      <c r="M46" s="8" t="s">
        <v>937</v>
      </c>
    </row>
    <row r="47" spans="1:13" ht="22.5" x14ac:dyDescent="0.25">
      <c r="A47" s="3" t="s">
        <v>519</v>
      </c>
      <c r="B47" s="3">
        <v>1.1000000000000001</v>
      </c>
      <c r="C47" s="3" t="s">
        <v>66</v>
      </c>
      <c r="D47" s="8" t="s">
        <v>641</v>
      </c>
      <c r="E47" s="3" t="s">
        <v>28</v>
      </c>
      <c r="F47" s="3" t="s">
        <v>28</v>
      </c>
      <c r="G47" s="39">
        <v>0.79</v>
      </c>
      <c r="H47" s="40">
        <v>1</v>
      </c>
      <c r="I47" s="40">
        <v>1</v>
      </c>
      <c r="J47" s="41">
        <v>2</v>
      </c>
      <c r="K47" s="39">
        <f t="shared" si="0"/>
        <v>0.39500000000000002</v>
      </c>
      <c r="L47" s="8" t="s">
        <v>642</v>
      </c>
      <c r="M47" s="8" t="s">
        <v>643</v>
      </c>
    </row>
    <row r="48" spans="1:13" ht="22.5" x14ac:dyDescent="0.25">
      <c r="A48" s="3" t="s">
        <v>519</v>
      </c>
      <c r="B48" s="3">
        <v>1.1000000000000001</v>
      </c>
      <c r="C48" s="3" t="s">
        <v>66</v>
      </c>
      <c r="D48" s="8" t="s">
        <v>644</v>
      </c>
      <c r="E48" s="3" t="s">
        <v>28</v>
      </c>
      <c r="F48" s="3" t="s">
        <v>28</v>
      </c>
      <c r="G48" s="39">
        <v>0.85</v>
      </c>
      <c r="H48" s="40" t="s">
        <v>617</v>
      </c>
      <c r="I48" s="40">
        <v>2</v>
      </c>
      <c r="J48" s="41">
        <f>720/510</f>
        <v>1.411764705882353</v>
      </c>
      <c r="K48" s="39">
        <f t="shared" si="0"/>
        <v>1.2041666666666666</v>
      </c>
      <c r="L48" s="8" t="s">
        <v>645</v>
      </c>
      <c r="M48" s="2" t="s">
        <v>646</v>
      </c>
    </row>
    <row r="49" spans="1:13" ht="26.25" customHeight="1" x14ac:dyDescent="0.25">
      <c r="A49" s="3" t="s">
        <v>519</v>
      </c>
      <c r="B49" s="3">
        <v>1.1000000000000001</v>
      </c>
      <c r="C49" s="3" t="s">
        <v>66</v>
      </c>
      <c r="D49" s="8" t="s">
        <v>647</v>
      </c>
      <c r="E49" s="3" t="s">
        <v>28</v>
      </c>
      <c r="F49" s="3" t="s">
        <v>28</v>
      </c>
      <c r="G49" s="39">
        <v>1.25</v>
      </c>
      <c r="H49" s="40" t="s">
        <v>648</v>
      </c>
      <c r="I49" s="40">
        <v>1</v>
      </c>
      <c r="J49" s="41">
        <f>2500/765</f>
        <v>3.2679738562091503</v>
      </c>
      <c r="K49" s="39">
        <f t="shared" si="0"/>
        <v>0.38250000000000001</v>
      </c>
      <c r="L49" s="8" t="s">
        <v>649</v>
      </c>
      <c r="M49" s="8" t="s">
        <v>650</v>
      </c>
    </row>
    <row r="50" spans="1:13" x14ac:dyDescent="0.25">
      <c r="A50" s="3" t="s">
        <v>519</v>
      </c>
      <c r="B50" s="3">
        <v>1.1000000000000001</v>
      </c>
      <c r="C50" s="3" t="s">
        <v>66</v>
      </c>
      <c r="D50" s="8" t="s">
        <v>651</v>
      </c>
      <c r="E50" s="3" t="s">
        <v>28</v>
      </c>
      <c r="F50" s="3" t="s">
        <v>28</v>
      </c>
      <c r="G50" s="39">
        <v>0.21</v>
      </c>
      <c r="H50" s="40" t="s">
        <v>595</v>
      </c>
      <c r="I50" s="40">
        <v>1</v>
      </c>
      <c r="J50" s="41">
        <v>1</v>
      </c>
      <c r="K50" s="39">
        <f t="shared" si="0"/>
        <v>0.21</v>
      </c>
      <c r="L50" s="8" t="s">
        <v>652</v>
      </c>
      <c r="M50" s="8" t="s">
        <v>939</v>
      </c>
    </row>
    <row r="51" spans="1:13" x14ac:dyDescent="0.25">
      <c r="A51" s="3" t="s">
        <v>519</v>
      </c>
      <c r="B51" s="3">
        <v>1.1000000000000001</v>
      </c>
      <c r="C51" s="3" t="s">
        <v>66</v>
      </c>
      <c r="D51" s="8" t="s">
        <v>653</v>
      </c>
      <c r="E51" s="3" t="s">
        <v>28</v>
      </c>
      <c r="F51" s="3" t="s">
        <v>28</v>
      </c>
      <c r="G51" s="39">
        <v>0.5</v>
      </c>
      <c r="H51" s="40" t="s">
        <v>654</v>
      </c>
      <c r="I51" s="40">
        <v>1</v>
      </c>
      <c r="J51" s="41">
        <f>100/72</f>
        <v>1.3888888888888888</v>
      </c>
      <c r="K51" s="39">
        <f t="shared" si="0"/>
        <v>0.36</v>
      </c>
      <c r="L51" s="8" t="s">
        <v>655</v>
      </c>
      <c r="M51" s="8" t="s">
        <v>656</v>
      </c>
    </row>
    <row r="52" spans="1:13" x14ac:dyDescent="0.25">
      <c r="A52" s="3" t="s">
        <v>519</v>
      </c>
      <c r="B52" s="3">
        <v>1.1000000000000001</v>
      </c>
      <c r="C52" s="3" t="s">
        <v>66</v>
      </c>
      <c r="D52" s="8" t="s">
        <v>657</v>
      </c>
      <c r="E52" s="3" t="s">
        <v>28</v>
      </c>
      <c r="F52" s="3" t="s">
        <v>28</v>
      </c>
      <c r="G52" s="39">
        <v>0.54</v>
      </c>
      <c r="H52" s="40" t="s">
        <v>523</v>
      </c>
      <c r="I52" s="40">
        <v>1</v>
      </c>
      <c r="J52" s="41">
        <v>1</v>
      </c>
      <c r="K52" s="39">
        <f t="shared" si="0"/>
        <v>0.54</v>
      </c>
      <c r="L52" s="8" t="s">
        <v>658</v>
      </c>
      <c r="M52" s="8" t="s">
        <v>940</v>
      </c>
    </row>
    <row r="53" spans="1:13" x14ac:dyDescent="0.25">
      <c r="A53" s="3" t="s">
        <v>519</v>
      </c>
      <c r="B53" s="3">
        <v>1.1000000000000001</v>
      </c>
      <c r="C53" s="3" t="s">
        <v>66</v>
      </c>
      <c r="D53" s="8" t="s">
        <v>659</v>
      </c>
      <c r="E53" s="3" t="s">
        <v>28</v>
      </c>
      <c r="F53" s="3" t="s">
        <v>28</v>
      </c>
      <c r="G53" s="39">
        <v>0.85</v>
      </c>
      <c r="H53" s="40">
        <v>1</v>
      </c>
      <c r="I53" s="40">
        <v>1</v>
      </c>
      <c r="J53" s="41">
        <v>1</v>
      </c>
      <c r="K53" s="39">
        <f t="shared" si="0"/>
        <v>0.85</v>
      </c>
      <c r="L53" s="8" t="s">
        <v>660</v>
      </c>
      <c r="M53" s="8" t="s">
        <v>941</v>
      </c>
    </row>
    <row r="54" spans="1:13" x14ac:dyDescent="0.25">
      <c r="A54" s="3" t="s">
        <v>519</v>
      </c>
      <c r="B54" s="3">
        <v>1.1000000000000001</v>
      </c>
      <c r="C54" s="3" t="s">
        <v>66</v>
      </c>
      <c r="D54" s="8" t="s">
        <v>661</v>
      </c>
      <c r="E54" s="3" t="s">
        <v>28</v>
      </c>
      <c r="F54" s="3" t="s">
        <v>28</v>
      </c>
      <c r="G54" s="39">
        <v>0.55000000000000004</v>
      </c>
      <c r="H54" s="40">
        <v>1</v>
      </c>
      <c r="I54" s="40">
        <v>2</v>
      </c>
      <c r="J54" s="41">
        <v>1</v>
      </c>
      <c r="K54" s="40">
        <f t="shared" si="0"/>
        <v>1.1000000000000001</v>
      </c>
      <c r="L54" s="8" t="s">
        <v>662</v>
      </c>
      <c r="M54" s="8" t="s">
        <v>663</v>
      </c>
    </row>
    <row r="55" spans="1:13" x14ac:dyDescent="0.25">
      <c r="A55" s="3" t="s">
        <v>519</v>
      </c>
      <c r="B55" s="3">
        <v>1.1000000000000001</v>
      </c>
      <c r="C55" s="3" t="s">
        <v>66</v>
      </c>
      <c r="D55" s="8" t="s">
        <v>664</v>
      </c>
      <c r="E55" s="3" t="s">
        <v>28</v>
      </c>
      <c r="F55" s="3" t="s">
        <v>28</v>
      </c>
      <c r="G55" s="39">
        <v>0.55000000000000004</v>
      </c>
      <c r="H55" s="40">
        <v>1</v>
      </c>
      <c r="I55" s="40">
        <v>2</v>
      </c>
      <c r="J55" s="41">
        <v>1</v>
      </c>
      <c r="K55" s="40">
        <f t="shared" si="0"/>
        <v>1.1000000000000001</v>
      </c>
      <c r="L55" s="8" t="s">
        <v>665</v>
      </c>
      <c r="M55" s="8" t="s">
        <v>666</v>
      </c>
    </row>
    <row r="56" spans="1:13" x14ac:dyDescent="0.25">
      <c r="A56" s="3" t="s">
        <v>519</v>
      </c>
      <c r="B56" s="3">
        <v>1.1000000000000001</v>
      </c>
      <c r="C56" s="3" t="s">
        <v>66</v>
      </c>
      <c r="D56" s="8" t="s">
        <v>667</v>
      </c>
      <c r="E56" s="3" t="s">
        <v>28</v>
      </c>
      <c r="F56" s="3" t="s">
        <v>28</v>
      </c>
      <c r="G56" s="39">
        <v>1.3</v>
      </c>
      <c r="H56" s="40" t="s">
        <v>668</v>
      </c>
      <c r="I56" s="40">
        <v>1</v>
      </c>
      <c r="J56" s="41">
        <f>900/60</f>
        <v>15</v>
      </c>
      <c r="K56" s="39">
        <f t="shared" si="0"/>
        <v>8.666666666666667E-2</v>
      </c>
      <c r="L56" s="8" t="s">
        <v>669</v>
      </c>
      <c r="M56" s="8" t="s">
        <v>670</v>
      </c>
    </row>
    <row r="57" spans="1:13" x14ac:dyDescent="0.25">
      <c r="A57" s="3" t="s">
        <v>519</v>
      </c>
      <c r="B57" s="3">
        <v>1.1000000000000001</v>
      </c>
      <c r="C57" s="3" t="s">
        <v>66</v>
      </c>
      <c r="D57" s="8" t="s">
        <v>671</v>
      </c>
      <c r="E57" s="3" t="s">
        <v>28</v>
      </c>
      <c r="F57" s="3" t="s">
        <v>28</v>
      </c>
      <c r="G57" s="39">
        <v>1</v>
      </c>
      <c r="H57" s="40" t="s">
        <v>672</v>
      </c>
      <c r="I57" s="40">
        <v>1</v>
      </c>
      <c r="J57" s="41">
        <f>11/1</f>
        <v>11</v>
      </c>
      <c r="K57" s="39">
        <f t="shared" si="0"/>
        <v>9.0909090909090912E-2</v>
      </c>
      <c r="L57" s="8" t="s">
        <v>673</v>
      </c>
      <c r="M57" s="8" t="s">
        <v>674</v>
      </c>
    </row>
    <row r="58" spans="1:13" x14ac:dyDescent="0.25">
      <c r="A58" s="3" t="s">
        <v>519</v>
      </c>
      <c r="B58" s="3">
        <v>1.1000000000000001</v>
      </c>
      <c r="C58" s="3" t="s">
        <v>66</v>
      </c>
      <c r="D58" s="8" t="s">
        <v>675</v>
      </c>
      <c r="E58" s="3" t="s">
        <v>28</v>
      </c>
      <c r="F58" s="3" t="s">
        <v>28</v>
      </c>
      <c r="G58" s="39">
        <v>1.45</v>
      </c>
      <c r="H58" s="40" t="s">
        <v>599</v>
      </c>
      <c r="I58" s="40">
        <v>1</v>
      </c>
      <c r="J58" s="41">
        <f>1000/80</f>
        <v>12.5</v>
      </c>
      <c r="K58" s="39">
        <f t="shared" si="0"/>
        <v>0.11599999999999999</v>
      </c>
      <c r="L58" s="8" t="s">
        <v>676</v>
      </c>
      <c r="M58" s="2" t="s">
        <v>677</v>
      </c>
    </row>
    <row r="59" spans="1:13" ht="22.5" x14ac:dyDescent="0.25">
      <c r="A59" s="3" t="s">
        <v>519</v>
      </c>
      <c r="B59" s="3">
        <v>1.1000000000000001</v>
      </c>
      <c r="C59" s="3" t="s">
        <v>66</v>
      </c>
      <c r="D59" s="8" t="s">
        <v>678</v>
      </c>
      <c r="E59" s="3" t="s">
        <v>28</v>
      </c>
      <c r="F59" s="3" t="s">
        <v>28</v>
      </c>
      <c r="G59" s="39">
        <v>1.3</v>
      </c>
      <c r="H59" s="40" t="s">
        <v>668</v>
      </c>
      <c r="I59" s="40">
        <v>1</v>
      </c>
      <c r="J59" s="41">
        <f>900/170</f>
        <v>5.2941176470588234</v>
      </c>
      <c r="K59" s="39">
        <f t="shared" si="0"/>
        <v>0.24555555555555558</v>
      </c>
      <c r="L59" s="8" t="s">
        <v>679</v>
      </c>
      <c r="M59" s="3" t="s">
        <v>779</v>
      </c>
    </row>
    <row r="60" spans="1:13" x14ac:dyDescent="0.25">
      <c r="A60" s="3" t="s">
        <v>519</v>
      </c>
      <c r="B60" s="3">
        <v>1.1000000000000001</v>
      </c>
      <c r="C60" s="3" t="s">
        <v>66</v>
      </c>
      <c r="D60" s="8" t="s">
        <v>680</v>
      </c>
      <c r="E60" s="3" t="s">
        <v>28</v>
      </c>
      <c r="F60" s="3" t="s">
        <v>28</v>
      </c>
      <c r="G60" s="39">
        <v>1.4</v>
      </c>
      <c r="H60" s="40" t="s">
        <v>566</v>
      </c>
      <c r="I60" s="40">
        <v>1</v>
      </c>
      <c r="J60" s="41">
        <f>500/70</f>
        <v>7.1428571428571432</v>
      </c>
      <c r="K60" s="39">
        <f t="shared" si="0"/>
        <v>0.19599999999999998</v>
      </c>
      <c r="L60" s="8" t="s">
        <v>681</v>
      </c>
      <c r="M60" s="8" t="s">
        <v>682</v>
      </c>
    </row>
    <row r="61" spans="1:13" x14ac:dyDescent="0.25">
      <c r="A61" s="3" t="s">
        <v>519</v>
      </c>
      <c r="B61" s="3">
        <v>1.1000000000000001</v>
      </c>
      <c r="C61" s="3" t="s">
        <v>66</v>
      </c>
      <c r="D61" s="8" t="s">
        <v>683</v>
      </c>
      <c r="E61" s="3" t="s">
        <v>28</v>
      </c>
      <c r="F61" s="3" t="s">
        <v>28</v>
      </c>
      <c r="G61" s="39">
        <v>1.2</v>
      </c>
      <c r="H61" s="40" t="s">
        <v>668</v>
      </c>
      <c r="I61" s="40">
        <v>1</v>
      </c>
      <c r="J61" s="41">
        <f>900/69</f>
        <v>13.043478260869565</v>
      </c>
      <c r="K61" s="39">
        <f t="shared" si="0"/>
        <v>9.1999999999999998E-2</v>
      </c>
      <c r="L61" s="8" t="s">
        <v>684</v>
      </c>
      <c r="M61" s="8" t="s">
        <v>685</v>
      </c>
    </row>
    <row r="62" spans="1:13" x14ac:dyDescent="0.25">
      <c r="A62" s="3" t="s">
        <v>519</v>
      </c>
      <c r="B62" s="3">
        <v>1.1000000000000001</v>
      </c>
      <c r="C62" s="3" t="s">
        <v>66</v>
      </c>
      <c r="D62" s="8" t="s">
        <v>686</v>
      </c>
      <c r="E62" s="3" t="s">
        <v>28</v>
      </c>
      <c r="F62" s="3" t="s">
        <v>28</v>
      </c>
      <c r="G62" s="39">
        <v>1.3</v>
      </c>
      <c r="H62" s="40" t="s">
        <v>599</v>
      </c>
      <c r="I62" s="40">
        <v>1</v>
      </c>
      <c r="J62" s="41">
        <f>1000/84</f>
        <v>11.904761904761905</v>
      </c>
      <c r="K62" s="39">
        <f t="shared" si="0"/>
        <v>0.10920000000000001</v>
      </c>
      <c r="L62" s="8" t="s">
        <v>687</v>
      </c>
      <c r="M62" s="8" t="s">
        <v>688</v>
      </c>
    </row>
    <row r="63" spans="1:13" x14ac:dyDescent="0.25">
      <c r="A63" s="3" t="s">
        <v>519</v>
      </c>
      <c r="B63" s="3">
        <v>1.1000000000000001</v>
      </c>
      <c r="C63" s="3" t="s">
        <v>66</v>
      </c>
      <c r="D63" s="8" t="s">
        <v>689</v>
      </c>
      <c r="E63" s="3" t="s">
        <v>28</v>
      </c>
      <c r="F63" s="3" t="s">
        <v>28</v>
      </c>
      <c r="G63" s="39">
        <v>1.75</v>
      </c>
      <c r="H63" s="40" t="s">
        <v>599</v>
      </c>
      <c r="I63" s="40">
        <v>1</v>
      </c>
      <c r="J63" s="41">
        <f>1000/60</f>
        <v>16.666666666666668</v>
      </c>
      <c r="K63" s="39">
        <f t="shared" si="0"/>
        <v>0.105</v>
      </c>
      <c r="L63" s="8" t="s">
        <v>669</v>
      </c>
      <c r="M63" s="8" t="s">
        <v>690</v>
      </c>
    </row>
    <row r="64" spans="1:13" x14ac:dyDescent="0.25">
      <c r="A64" s="3" t="s">
        <v>519</v>
      </c>
      <c r="B64" s="3">
        <v>1.1000000000000001</v>
      </c>
      <c r="C64" s="3" t="s">
        <v>66</v>
      </c>
      <c r="D64" s="8" t="s">
        <v>691</v>
      </c>
      <c r="E64" s="3" t="s">
        <v>28</v>
      </c>
      <c r="F64" s="3" t="s">
        <v>28</v>
      </c>
      <c r="G64" s="39">
        <v>0.75</v>
      </c>
      <c r="H64" s="40" t="s">
        <v>566</v>
      </c>
      <c r="I64" s="40">
        <v>1</v>
      </c>
      <c r="J64" s="41">
        <f>500/87</f>
        <v>5.7471264367816088</v>
      </c>
      <c r="K64" s="39">
        <f t="shared" si="0"/>
        <v>0.1305</v>
      </c>
      <c r="L64" s="8" t="s">
        <v>692</v>
      </c>
      <c r="M64" s="8" t="s">
        <v>693</v>
      </c>
    </row>
    <row r="65" spans="1:13" x14ac:dyDescent="0.25">
      <c r="A65" s="3" t="s">
        <v>519</v>
      </c>
      <c r="B65" s="3">
        <v>1.1000000000000001</v>
      </c>
      <c r="C65" s="3" t="s">
        <v>66</v>
      </c>
      <c r="D65" s="8" t="s">
        <v>694</v>
      </c>
      <c r="E65" s="3" t="s">
        <v>28</v>
      </c>
      <c r="F65" s="3" t="s">
        <v>28</v>
      </c>
      <c r="G65" s="39">
        <v>0.75</v>
      </c>
      <c r="H65" s="40" t="s">
        <v>566</v>
      </c>
      <c r="I65" s="40">
        <v>1</v>
      </c>
      <c r="J65" s="41">
        <f>500/52</f>
        <v>9.615384615384615</v>
      </c>
      <c r="K65" s="39">
        <f t="shared" si="0"/>
        <v>7.8E-2</v>
      </c>
      <c r="L65" s="8" t="s">
        <v>695</v>
      </c>
      <c r="M65" s="8" t="s">
        <v>696</v>
      </c>
    </row>
    <row r="66" spans="1:13" x14ac:dyDescent="0.25">
      <c r="A66" s="3" t="s">
        <v>519</v>
      </c>
      <c r="B66" s="3">
        <v>1.1000000000000001</v>
      </c>
      <c r="C66" s="3" t="s">
        <v>66</v>
      </c>
      <c r="D66" s="8" t="s">
        <v>697</v>
      </c>
      <c r="E66" s="3" t="s">
        <v>943</v>
      </c>
      <c r="F66" s="3" t="s">
        <v>28</v>
      </c>
      <c r="G66" s="39">
        <v>2.65</v>
      </c>
      <c r="H66" s="40" t="s">
        <v>730</v>
      </c>
      <c r="I66" s="40">
        <v>1</v>
      </c>
      <c r="J66" s="41">
        <f>400/99</f>
        <v>4.0404040404040407</v>
      </c>
      <c r="K66" s="39">
        <f t="shared" si="0"/>
        <v>0.65587499999999999</v>
      </c>
      <c r="L66" s="8" t="s">
        <v>698</v>
      </c>
      <c r="M66" s="2" t="s">
        <v>942</v>
      </c>
    </row>
    <row r="67" spans="1:13" x14ac:dyDescent="0.25">
      <c r="A67" s="3" t="s">
        <v>519</v>
      </c>
      <c r="B67" s="3">
        <v>1.1000000000000001</v>
      </c>
      <c r="C67" s="3" t="s">
        <v>66</v>
      </c>
      <c r="D67" s="8" t="s">
        <v>699</v>
      </c>
      <c r="E67" s="3" t="s">
        <v>28</v>
      </c>
      <c r="F67" s="3" t="s">
        <v>28</v>
      </c>
      <c r="G67" s="39">
        <v>1</v>
      </c>
      <c r="H67" s="40">
        <v>1</v>
      </c>
      <c r="I67" s="40">
        <v>1</v>
      </c>
      <c r="J67" s="41">
        <f>36/4</f>
        <v>9</v>
      </c>
      <c r="K67" s="39">
        <f t="shared" si="0"/>
        <v>0.1111111111111111</v>
      </c>
      <c r="L67" s="8" t="s">
        <v>700</v>
      </c>
      <c r="M67" s="2" t="s">
        <v>944</v>
      </c>
    </row>
    <row r="68" spans="1:13" x14ac:dyDescent="0.25">
      <c r="A68" s="3" t="s">
        <v>519</v>
      </c>
      <c r="B68" s="3">
        <v>1.1000000000000001</v>
      </c>
      <c r="C68" s="3" t="s">
        <v>66</v>
      </c>
      <c r="D68" s="8" t="s">
        <v>701</v>
      </c>
      <c r="E68" s="3" t="s">
        <v>28</v>
      </c>
      <c r="F68" s="3" t="s">
        <v>28</v>
      </c>
      <c r="G68" s="39">
        <v>0.9</v>
      </c>
      <c r="H68" s="40">
        <v>10</v>
      </c>
      <c r="I68" s="40">
        <v>1</v>
      </c>
      <c r="J68" s="41">
        <f>10/1</f>
        <v>10</v>
      </c>
      <c r="K68" s="39">
        <f t="shared" si="0"/>
        <v>0.09</v>
      </c>
      <c r="L68" s="8" t="s">
        <v>702</v>
      </c>
      <c r="M68" s="8" t="s">
        <v>703</v>
      </c>
    </row>
    <row r="69" spans="1:13" ht="22.5" x14ac:dyDescent="0.25">
      <c r="A69" s="3" t="s">
        <v>519</v>
      </c>
      <c r="B69" s="3">
        <v>1.1000000000000001</v>
      </c>
      <c r="C69" s="3" t="s">
        <v>66</v>
      </c>
      <c r="D69" s="8" t="s">
        <v>704</v>
      </c>
      <c r="E69" s="3" t="s">
        <v>705</v>
      </c>
      <c r="F69" s="3" t="s">
        <v>28</v>
      </c>
      <c r="G69" s="39">
        <v>1.5</v>
      </c>
      <c r="H69" s="40">
        <v>8</v>
      </c>
      <c r="I69" s="40">
        <v>1</v>
      </c>
      <c r="J69" s="41">
        <f>8/1</f>
        <v>8</v>
      </c>
      <c r="K69" s="39">
        <f t="shared" si="0"/>
        <v>0.1875</v>
      </c>
      <c r="L69" s="8" t="s">
        <v>702</v>
      </c>
      <c r="M69" s="8" t="s">
        <v>945</v>
      </c>
    </row>
    <row r="70" spans="1:13" x14ac:dyDescent="0.25">
      <c r="A70" s="3" t="s">
        <v>519</v>
      </c>
      <c r="B70" s="3">
        <v>1.1000000000000001</v>
      </c>
      <c r="C70" s="3" t="s">
        <v>66</v>
      </c>
      <c r="D70" s="8" t="s">
        <v>706</v>
      </c>
      <c r="E70" s="3" t="s">
        <v>28</v>
      </c>
      <c r="F70" s="3" t="s">
        <v>28</v>
      </c>
      <c r="G70" s="39">
        <v>1</v>
      </c>
      <c r="H70" s="40" t="s">
        <v>707</v>
      </c>
      <c r="I70" s="40">
        <v>1</v>
      </c>
      <c r="J70" s="41">
        <f>34/0.5</f>
        <v>68</v>
      </c>
      <c r="K70" s="39">
        <f t="shared" ref="K70:K91" si="1">G70*I70/J70</f>
        <v>1.4705882352941176E-2</v>
      </c>
      <c r="L70" s="8" t="s">
        <v>708</v>
      </c>
      <c r="M70" s="8" t="s">
        <v>709</v>
      </c>
    </row>
    <row r="71" spans="1:13" x14ac:dyDescent="0.25">
      <c r="A71" s="3" t="s">
        <v>519</v>
      </c>
      <c r="B71" s="3">
        <v>1.1000000000000001</v>
      </c>
      <c r="C71" s="3" t="s">
        <v>66</v>
      </c>
      <c r="D71" s="8" t="s">
        <v>710</v>
      </c>
      <c r="E71" s="3" t="s">
        <v>28</v>
      </c>
      <c r="F71" s="3" t="s">
        <v>28</v>
      </c>
      <c r="G71" s="39">
        <v>1</v>
      </c>
      <c r="H71" s="40" t="s">
        <v>711</v>
      </c>
      <c r="I71" s="40">
        <v>1</v>
      </c>
      <c r="J71" s="41">
        <f>33/0.5</f>
        <v>66</v>
      </c>
      <c r="K71" s="39">
        <f t="shared" si="1"/>
        <v>1.5151515151515152E-2</v>
      </c>
      <c r="L71" s="8" t="s">
        <v>708</v>
      </c>
      <c r="M71" s="8" t="s">
        <v>712</v>
      </c>
    </row>
    <row r="72" spans="1:13" ht="22.5" x14ac:dyDescent="0.25">
      <c r="A72" s="3" t="s">
        <v>519</v>
      </c>
      <c r="B72" s="3">
        <v>1.1000000000000001</v>
      </c>
      <c r="C72" s="3" t="s">
        <v>66</v>
      </c>
      <c r="D72" s="8" t="s">
        <v>713</v>
      </c>
      <c r="E72" s="3" t="s">
        <v>28</v>
      </c>
      <c r="F72" s="3" t="s">
        <v>28</v>
      </c>
      <c r="G72" s="39">
        <v>1</v>
      </c>
      <c r="H72" s="40" t="s">
        <v>714</v>
      </c>
      <c r="I72" s="40">
        <v>1</v>
      </c>
      <c r="J72" s="41">
        <v>15</v>
      </c>
      <c r="K72" s="39">
        <f t="shared" si="1"/>
        <v>6.6666666666666666E-2</v>
      </c>
      <c r="L72" s="8" t="s">
        <v>715</v>
      </c>
      <c r="M72" s="2" t="s">
        <v>716</v>
      </c>
    </row>
    <row r="73" spans="1:13" x14ac:dyDescent="0.25">
      <c r="A73" s="3" t="s">
        <v>519</v>
      </c>
      <c r="B73" s="3">
        <v>1.1000000000000001</v>
      </c>
      <c r="C73" s="3" t="s">
        <v>66</v>
      </c>
      <c r="D73" s="8" t="s">
        <v>717</v>
      </c>
      <c r="E73" s="3" t="s">
        <v>28</v>
      </c>
      <c r="F73" s="3" t="s">
        <v>28</v>
      </c>
      <c r="G73" s="39">
        <v>1</v>
      </c>
      <c r="H73" s="40" t="s">
        <v>718</v>
      </c>
      <c r="I73" s="40">
        <v>1</v>
      </c>
      <c r="J73" s="41">
        <f>18/1.5</f>
        <v>12</v>
      </c>
      <c r="K73" s="39">
        <f t="shared" si="1"/>
        <v>8.3333333333333329E-2</v>
      </c>
      <c r="L73" s="8" t="s">
        <v>719</v>
      </c>
      <c r="M73" s="8" t="s">
        <v>720</v>
      </c>
    </row>
    <row r="74" spans="1:13" x14ac:dyDescent="0.25">
      <c r="A74" s="3" t="s">
        <v>519</v>
      </c>
      <c r="B74" s="3">
        <v>1.1000000000000001</v>
      </c>
      <c r="C74" s="3" t="s">
        <v>66</v>
      </c>
      <c r="D74" s="8" t="s">
        <v>721</v>
      </c>
      <c r="E74" s="3" t="s">
        <v>28</v>
      </c>
      <c r="F74" s="3" t="s">
        <v>28</v>
      </c>
      <c r="G74" s="39">
        <v>1.1499999999999999</v>
      </c>
      <c r="H74" s="40" t="s">
        <v>947</v>
      </c>
      <c r="I74" s="40">
        <v>1</v>
      </c>
      <c r="J74" s="41">
        <f>25/0.2</f>
        <v>125</v>
      </c>
      <c r="K74" s="39">
        <f t="shared" si="1"/>
        <v>9.1999999999999998E-3</v>
      </c>
      <c r="L74" s="8" t="s">
        <v>722</v>
      </c>
      <c r="M74" s="2" t="s">
        <v>946</v>
      </c>
    </row>
    <row r="75" spans="1:13" ht="15.95" customHeight="1" x14ac:dyDescent="0.25">
      <c r="A75" s="3" t="s">
        <v>519</v>
      </c>
      <c r="B75" s="3">
        <v>1.1000000000000001</v>
      </c>
      <c r="C75" s="3" t="s">
        <v>66</v>
      </c>
      <c r="D75" s="8" t="s">
        <v>723</v>
      </c>
      <c r="E75" s="3" t="s">
        <v>28</v>
      </c>
      <c r="F75" s="3" t="s">
        <v>28</v>
      </c>
      <c r="G75" s="39">
        <v>0.65</v>
      </c>
      <c r="H75" s="40" t="s">
        <v>523</v>
      </c>
      <c r="I75" s="40">
        <v>1</v>
      </c>
      <c r="J75" s="41">
        <f>200/18</f>
        <v>11.111111111111111</v>
      </c>
      <c r="K75" s="39">
        <f t="shared" si="1"/>
        <v>5.8500000000000003E-2</v>
      </c>
      <c r="L75" s="8" t="s">
        <v>724</v>
      </c>
      <c r="M75" s="2" t="s">
        <v>949</v>
      </c>
    </row>
    <row r="76" spans="1:13" x14ac:dyDescent="0.25">
      <c r="A76" s="3" t="s">
        <v>519</v>
      </c>
      <c r="B76" s="3">
        <v>1.1000000000000001</v>
      </c>
      <c r="C76" s="3" t="s">
        <v>66</v>
      </c>
      <c r="D76" s="8" t="s">
        <v>725</v>
      </c>
      <c r="E76" s="3" t="s">
        <v>28</v>
      </c>
      <c r="F76" s="3" t="s">
        <v>28</v>
      </c>
      <c r="G76" s="39">
        <v>1.7</v>
      </c>
      <c r="H76" s="40" t="s">
        <v>726</v>
      </c>
      <c r="I76" s="40">
        <v>1</v>
      </c>
      <c r="J76" s="41">
        <f>150/6</f>
        <v>25</v>
      </c>
      <c r="K76" s="39">
        <f t="shared" si="1"/>
        <v>6.8000000000000005E-2</v>
      </c>
      <c r="L76" s="8" t="s">
        <v>727</v>
      </c>
      <c r="M76" s="2" t="s">
        <v>948</v>
      </c>
    </row>
    <row r="77" spans="1:13" ht="22.5" x14ac:dyDescent="0.25">
      <c r="A77" s="3" t="s">
        <v>519</v>
      </c>
      <c r="B77" s="3">
        <v>1.1000000000000001</v>
      </c>
      <c r="C77" s="3" t="s">
        <v>66</v>
      </c>
      <c r="D77" s="8" t="s">
        <v>728</v>
      </c>
      <c r="E77" s="3" t="s">
        <v>28</v>
      </c>
      <c r="F77" s="3" t="s">
        <v>28</v>
      </c>
      <c r="G77" s="39">
        <v>1.7</v>
      </c>
      <c r="H77" s="40" t="s">
        <v>523</v>
      </c>
      <c r="I77" s="40">
        <v>1</v>
      </c>
      <c r="J77" s="41">
        <v>1</v>
      </c>
      <c r="K77" s="39">
        <f t="shared" si="1"/>
        <v>1.7</v>
      </c>
      <c r="L77" s="8" t="s">
        <v>600</v>
      </c>
      <c r="M77" s="8" t="s">
        <v>950</v>
      </c>
    </row>
    <row r="78" spans="1:13" x14ac:dyDescent="0.25">
      <c r="A78" s="3" t="s">
        <v>519</v>
      </c>
      <c r="B78" s="3">
        <v>1.1000000000000001</v>
      </c>
      <c r="C78" s="3" t="s">
        <v>66</v>
      </c>
      <c r="D78" s="8" t="s">
        <v>729</v>
      </c>
      <c r="E78" s="3" t="s">
        <v>28</v>
      </c>
      <c r="F78" s="3" t="s">
        <v>28</v>
      </c>
      <c r="G78" s="39">
        <v>0.6</v>
      </c>
      <c r="H78" s="40" t="s">
        <v>730</v>
      </c>
      <c r="I78" s="40">
        <v>1</v>
      </c>
      <c r="J78" s="41">
        <v>1</v>
      </c>
      <c r="K78" s="39">
        <f t="shared" si="1"/>
        <v>0.6</v>
      </c>
      <c r="L78" s="8" t="s">
        <v>731</v>
      </c>
      <c r="M78" s="8" t="s">
        <v>732</v>
      </c>
    </row>
    <row r="79" spans="1:13" x14ac:dyDescent="0.25">
      <c r="A79" s="3" t="s">
        <v>519</v>
      </c>
      <c r="B79" s="3">
        <v>1.1000000000000001</v>
      </c>
      <c r="C79" s="3" t="s">
        <v>66</v>
      </c>
      <c r="D79" s="8" t="s">
        <v>733</v>
      </c>
      <c r="E79" s="3" t="s">
        <v>28</v>
      </c>
      <c r="F79" s="3" t="s">
        <v>28</v>
      </c>
      <c r="G79" s="39">
        <v>0.95</v>
      </c>
      <c r="H79" s="40" t="s">
        <v>566</v>
      </c>
      <c r="I79" s="40">
        <v>1</v>
      </c>
      <c r="J79" s="41">
        <v>2</v>
      </c>
      <c r="K79" s="39">
        <f t="shared" si="1"/>
        <v>0.47499999999999998</v>
      </c>
      <c r="L79" s="8" t="s">
        <v>603</v>
      </c>
      <c r="M79" s="2" t="s">
        <v>734</v>
      </c>
    </row>
    <row r="80" spans="1:13" ht="22.5" x14ac:dyDescent="0.25">
      <c r="A80" s="3" t="s">
        <v>519</v>
      </c>
      <c r="B80" s="3">
        <v>1.1000000000000001</v>
      </c>
      <c r="C80" s="3" t="s">
        <v>66</v>
      </c>
      <c r="D80" s="8" t="s">
        <v>735</v>
      </c>
      <c r="E80" s="3" t="s">
        <v>736</v>
      </c>
      <c r="F80" s="3" t="s">
        <v>28</v>
      </c>
      <c r="G80" s="39">
        <v>3</v>
      </c>
      <c r="H80" s="40" t="s">
        <v>745</v>
      </c>
      <c r="I80" s="40">
        <v>1</v>
      </c>
      <c r="J80" s="41">
        <v>1</v>
      </c>
      <c r="K80" s="39">
        <f t="shared" si="1"/>
        <v>3</v>
      </c>
      <c r="L80" s="8" t="s">
        <v>952</v>
      </c>
      <c r="M80" s="8" t="s">
        <v>951</v>
      </c>
    </row>
    <row r="81" spans="1:13" x14ac:dyDescent="0.25">
      <c r="A81" s="3" t="s">
        <v>519</v>
      </c>
      <c r="B81" s="3">
        <v>1.1000000000000001</v>
      </c>
      <c r="C81" s="3" t="s">
        <v>66</v>
      </c>
      <c r="D81" s="8" t="s">
        <v>737</v>
      </c>
      <c r="E81" s="3" t="s">
        <v>28</v>
      </c>
      <c r="F81" s="3" t="s">
        <v>28</v>
      </c>
      <c r="G81" s="39">
        <v>1</v>
      </c>
      <c r="H81" s="40" t="s">
        <v>523</v>
      </c>
      <c r="I81" s="40">
        <v>1</v>
      </c>
      <c r="J81" s="41">
        <f>200/10</f>
        <v>20</v>
      </c>
      <c r="K81" s="39">
        <f t="shared" si="1"/>
        <v>0.05</v>
      </c>
      <c r="L81" s="8" t="s">
        <v>738</v>
      </c>
      <c r="M81" s="8" t="s">
        <v>739</v>
      </c>
    </row>
    <row r="82" spans="1:13" ht="22.5" x14ac:dyDescent="0.25">
      <c r="A82" s="3" t="s">
        <v>519</v>
      </c>
      <c r="B82" s="3">
        <v>1.1000000000000001</v>
      </c>
      <c r="C82" s="3" t="s">
        <v>66</v>
      </c>
      <c r="D82" s="8" t="s">
        <v>740</v>
      </c>
      <c r="E82" s="3" t="s">
        <v>28</v>
      </c>
      <c r="F82" s="3" t="s">
        <v>28</v>
      </c>
      <c r="G82" s="39">
        <v>1.5</v>
      </c>
      <c r="H82" s="40" t="s">
        <v>599</v>
      </c>
      <c r="I82" s="40">
        <v>1</v>
      </c>
      <c r="J82" s="41">
        <f>1000/59</f>
        <v>16.949152542372882</v>
      </c>
      <c r="K82" s="39">
        <f t="shared" si="1"/>
        <v>8.8499999999999995E-2</v>
      </c>
      <c r="L82" s="8" t="s">
        <v>741</v>
      </c>
      <c r="M82" s="8" t="s">
        <v>742</v>
      </c>
    </row>
    <row r="83" spans="1:13" x14ac:dyDescent="0.25">
      <c r="A83" s="3" t="s">
        <v>519</v>
      </c>
      <c r="B83" s="3">
        <v>1.1000000000000001</v>
      </c>
      <c r="C83" s="3" t="s">
        <v>66</v>
      </c>
      <c r="D83" s="8" t="s">
        <v>743</v>
      </c>
      <c r="E83" s="3" t="s">
        <v>744</v>
      </c>
      <c r="F83" s="3" t="s">
        <v>28</v>
      </c>
      <c r="G83" s="39">
        <v>2</v>
      </c>
      <c r="H83" s="40" t="s">
        <v>745</v>
      </c>
      <c r="I83" s="40">
        <v>1</v>
      </c>
      <c r="J83" s="41">
        <f>350/7</f>
        <v>50</v>
      </c>
      <c r="K83" s="39">
        <f t="shared" si="1"/>
        <v>0.04</v>
      </c>
      <c r="L83" s="8" t="s">
        <v>746</v>
      </c>
      <c r="M83" s="8" t="s">
        <v>747</v>
      </c>
    </row>
    <row r="84" spans="1:13" x14ac:dyDescent="0.25">
      <c r="A84" s="3" t="s">
        <v>519</v>
      </c>
      <c r="B84" s="3">
        <v>1.1000000000000001</v>
      </c>
      <c r="C84" s="3" t="s">
        <v>66</v>
      </c>
      <c r="D84" s="8" t="s">
        <v>748</v>
      </c>
      <c r="E84" s="3" t="s">
        <v>28</v>
      </c>
      <c r="F84" s="3" t="s">
        <v>28</v>
      </c>
      <c r="G84" s="39">
        <v>0.95</v>
      </c>
      <c r="H84" s="40" t="s">
        <v>749</v>
      </c>
      <c r="I84" s="40">
        <v>1</v>
      </c>
      <c r="J84" s="41">
        <f>450/50</f>
        <v>9</v>
      </c>
      <c r="K84" s="39">
        <f t="shared" si="1"/>
        <v>0.10555555555555556</v>
      </c>
      <c r="L84" s="8" t="s">
        <v>750</v>
      </c>
      <c r="M84" s="8" t="s">
        <v>751</v>
      </c>
    </row>
    <row r="85" spans="1:13" ht="15" customHeight="1" x14ac:dyDescent="0.25">
      <c r="A85" s="3" t="s">
        <v>519</v>
      </c>
      <c r="B85" s="3">
        <v>1.1000000000000001</v>
      </c>
      <c r="C85" s="3" t="s">
        <v>66</v>
      </c>
      <c r="D85" s="8" t="s">
        <v>752</v>
      </c>
      <c r="E85" s="3" t="s">
        <v>753</v>
      </c>
      <c r="F85" s="3" t="s">
        <v>28</v>
      </c>
      <c r="G85" s="39">
        <v>2.25</v>
      </c>
      <c r="H85" s="40" t="s">
        <v>599</v>
      </c>
      <c r="I85" s="40">
        <v>1</v>
      </c>
      <c r="J85" s="41">
        <f>1000/52</f>
        <v>19.23076923076923</v>
      </c>
      <c r="K85" s="39">
        <f t="shared" si="1"/>
        <v>0.11700000000000001</v>
      </c>
      <c r="L85" s="8" t="s">
        <v>754</v>
      </c>
      <c r="M85" s="2" t="s">
        <v>953</v>
      </c>
    </row>
    <row r="86" spans="1:13" x14ac:dyDescent="0.25">
      <c r="A86" s="3" t="s">
        <v>519</v>
      </c>
      <c r="B86" s="3">
        <v>1.1000000000000001</v>
      </c>
      <c r="C86" s="3" t="s">
        <v>66</v>
      </c>
      <c r="D86" s="8" t="s">
        <v>755</v>
      </c>
      <c r="E86" s="3" t="s">
        <v>756</v>
      </c>
      <c r="F86" s="3" t="s">
        <v>28</v>
      </c>
      <c r="G86" s="39">
        <v>2.1</v>
      </c>
      <c r="H86" s="40" t="s">
        <v>599</v>
      </c>
      <c r="I86" s="40">
        <v>1</v>
      </c>
      <c r="J86" s="41">
        <f>1000/50</f>
        <v>20</v>
      </c>
      <c r="K86" s="39">
        <f t="shared" si="1"/>
        <v>0.10500000000000001</v>
      </c>
      <c r="L86" s="8" t="s">
        <v>750</v>
      </c>
      <c r="M86" s="8" t="s">
        <v>757</v>
      </c>
    </row>
    <row r="87" spans="1:13" x14ac:dyDescent="0.25">
      <c r="A87" s="3" t="s">
        <v>519</v>
      </c>
      <c r="B87" s="3">
        <v>1.1000000000000001</v>
      </c>
      <c r="C87" s="3" t="s">
        <v>66</v>
      </c>
      <c r="D87" s="8" t="s">
        <v>758</v>
      </c>
      <c r="E87" s="3" t="s">
        <v>28</v>
      </c>
      <c r="F87" s="3" t="s">
        <v>28</v>
      </c>
      <c r="G87" s="39">
        <v>0.8</v>
      </c>
      <c r="H87" s="40" t="s">
        <v>759</v>
      </c>
      <c r="I87" s="40">
        <v>1</v>
      </c>
      <c r="J87" s="41">
        <f>1500/90</f>
        <v>16.666666666666668</v>
      </c>
      <c r="K87" s="39">
        <f t="shared" si="1"/>
        <v>4.8000000000000001E-2</v>
      </c>
      <c r="L87" s="8" t="s">
        <v>592</v>
      </c>
      <c r="M87" s="8" t="s">
        <v>760</v>
      </c>
    </row>
    <row r="88" spans="1:13" x14ac:dyDescent="0.25">
      <c r="A88" s="3" t="s">
        <v>519</v>
      </c>
      <c r="B88" s="3">
        <v>1.1000000000000001</v>
      </c>
      <c r="C88" s="3" t="s">
        <v>66</v>
      </c>
      <c r="D88" s="8" t="s">
        <v>761</v>
      </c>
      <c r="E88" s="3" t="s">
        <v>28</v>
      </c>
      <c r="F88" s="3" t="s">
        <v>28</v>
      </c>
      <c r="G88" s="39">
        <v>1.55</v>
      </c>
      <c r="H88" s="40" t="s">
        <v>566</v>
      </c>
      <c r="I88" s="40">
        <v>1</v>
      </c>
      <c r="J88" s="41">
        <f>500/50</f>
        <v>10</v>
      </c>
      <c r="K88" s="39">
        <f t="shared" si="1"/>
        <v>0.155</v>
      </c>
      <c r="L88" s="8" t="s">
        <v>750</v>
      </c>
      <c r="M88" s="8" t="s">
        <v>762</v>
      </c>
    </row>
    <row r="89" spans="1:13" x14ac:dyDescent="0.25">
      <c r="A89" s="3" t="s">
        <v>519</v>
      </c>
      <c r="B89" s="3">
        <v>1.1000000000000001</v>
      </c>
      <c r="C89" s="3" t="s">
        <v>66</v>
      </c>
      <c r="D89" s="8" t="s">
        <v>763</v>
      </c>
      <c r="E89" s="3" t="s">
        <v>764</v>
      </c>
      <c r="F89" s="3" t="s">
        <v>28</v>
      </c>
      <c r="G89" s="39">
        <v>0.56999999999999995</v>
      </c>
      <c r="H89" s="40" t="s">
        <v>640</v>
      </c>
      <c r="I89" s="40">
        <v>1</v>
      </c>
      <c r="J89" s="41">
        <f>365/84*6</f>
        <v>26.071428571428569</v>
      </c>
      <c r="K89" s="39">
        <f t="shared" si="1"/>
        <v>2.1863013698630137E-2</v>
      </c>
      <c r="L89" s="8" t="s">
        <v>765</v>
      </c>
      <c r="M89" s="8" t="s">
        <v>766</v>
      </c>
    </row>
    <row r="90" spans="1:13" x14ac:dyDescent="0.25">
      <c r="A90" s="3" t="s">
        <v>519</v>
      </c>
      <c r="B90" s="3">
        <v>1.1000000000000001</v>
      </c>
      <c r="C90" s="3" t="s">
        <v>66</v>
      </c>
      <c r="D90" s="8" t="s">
        <v>767</v>
      </c>
      <c r="E90" s="3" t="s">
        <v>28</v>
      </c>
      <c r="F90" s="3" t="s">
        <v>28</v>
      </c>
      <c r="G90" s="39">
        <v>1.6</v>
      </c>
      <c r="H90" s="40" t="s">
        <v>566</v>
      </c>
      <c r="I90" s="40">
        <v>1</v>
      </c>
      <c r="J90" s="41">
        <f>500/50</f>
        <v>10</v>
      </c>
      <c r="K90" s="39">
        <f t="shared" si="1"/>
        <v>0.16</v>
      </c>
      <c r="L90" s="8" t="s">
        <v>750</v>
      </c>
      <c r="M90" s="8" t="s">
        <v>768</v>
      </c>
    </row>
    <row r="91" spans="1:13" ht="22.5" x14ac:dyDescent="0.25">
      <c r="A91" s="3" t="s">
        <v>519</v>
      </c>
      <c r="B91" s="3">
        <v>1.1000000000000001</v>
      </c>
      <c r="C91" s="3" t="s">
        <v>66</v>
      </c>
      <c r="D91" s="8" t="s">
        <v>769</v>
      </c>
      <c r="E91" s="3" t="s">
        <v>770</v>
      </c>
      <c r="F91" s="3" t="s">
        <v>28</v>
      </c>
      <c r="G91" s="40">
        <v>1.99</v>
      </c>
      <c r="H91" s="40">
        <v>6</v>
      </c>
      <c r="I91" s="40">
        <v>1</v>
      </c>
      <c r="J91" s="41">
        <v>3</v>
      </c>
      <c r="K91" s="39">
        <f t="shared" si="1"/>
        <v>0.66333333333333333</v>
      </c>
      <c r="L91" s="8" t="s">
        <v>771</v>
      </c>
      <c r="M91" s="8" t="s">
        <v>772</v>
      </c>
    </row>
    <row r="92" spans="1:13" s="15" customFormat="1" ht="11.25" x14ac:dyDescent="0.25">
      <c r="A92" s="10" t="s">
        <v>519</v>
      </c>
      <c r="B92" s="10">
        <v>1.1000000000000001</v>
      </c>
      <c r="C92" s="3" t="s">
        <v>66</v>
      </c>
      <c r="D92" s="8" t="s">
        <v>773</v>
      </c>
      <c r="E92" s="8"/>
      <c r="F92" s="10" t="s">
        <v>28</v>
      </c>
      <c r="G92" s="42">
        <v>47.88</v>
      </c>
      <c r="H92" s="43"/>
      <c r="I92" s="43">
        <v>1</v>
      </c>
      <c r="J92" s="44">
        <v>52.14</v>
      </c>
      <c r="K92" s="42"/>
      <c r="L92" s="8"/>
      <c r="M92" s="8" t="s">
        <v>916</v>
      </c>
    </row>
    <row r="93" spans="1:13" s="15" customFormat="1" ht="11.25" x14ac:dyDescent="0.25">
      <c r="A93" s="10" t="s">
        <v>519</v>
      </c>
      <c r="B93" s="10">
        <v>1.1000000000000001</v>
      </c>
      <c r="C93" s="3" t="s">
        <v>66</v>
      </c>
      <c r="D93" s="8" t="s">
        <v>774</v>
      </c>
      <c r="E93" s="8"/>
      <c r="F93" s="10"/>
      <c r="G93" s="42">
        <v>50</v>
      </c>
      <c r="H93" s="42"/>
      <c r="I93" s="43">
        <v>1</v>
      </c>
      <c r="J93" s="44">
        <f>365/7</f>
        <v>52.142857142857146</v>
      </c>
      <c r="K93" s="42">
        <f>(G93*I93)/J93</f>
        <v>0.95890410958904104</v>
      </c>
      <c r="L93" s="8"/>
      <c r="M93" s="8" t="s">
        <v>775</v>
      </c>
    </row>
    <row r="94" spans="1:13" s="15" customFormat="1" ht="11.25" x14ac:dyDescent="0.25">
      <c r="A94" s="8" t="s">
        <v>776</v>
      </c>
      <c r="B94" s="8">
        <v>11.1</v>
      </c>
      <c r="C94" s="3" t="s">
        <v>66</v>
      </c>
      <c r="D94" s="8" t="s">
        <v>777</v>
      </c>
      <c r="E94" s="8"/>
      <c r="F94" s="8"/>
      <c r="G94" s="45">
        <v>30</v>
      </c>
      <c r="H94" s="46"/>
      <c r="I94" s="46">
        <v>1</v>
      </c>
      <c r="J94" s="47">
        <v>1</v>
      </c>
      <c r="K94" s="42">
        <f>(G94*I94)/J94</f>
        <v>30</v>
      </c>
      <c r="L94" s="8"/>
      <c r="M94" s="8" t="s">
        <v>885</v>
      </c>
    </row>
    <row r="95" spans="1:13" s="15" customFormat="1" ht="11.25" x14ac:dyDescent="0.25">
      <c r="A95" s="8" t="s">
        <v>776</v>
      </c>
      <c r="B95" s="8">
        <v>11.1</v>
      </c>
      <c r="C95" s="3" t="s">
        <v>66</v>
      </c>
      <c r="D95" s="8" t="s">
        <v>778</v>
      </c>
      <c r="E95" s="8"/>
      <c r="F95" s="8"/>
      <c r="G95" s="45">
        <v>10</v>
      </c>
      <c r="H95" s="46"/>
      <c r="I95" s="46">
        <v>1</v>
      </c>
      <c r="J95" s="47">
        <v>1</v>
      </c>
      <c r="K95" s="42">
        <f>(G95*I95)/J95</f>
        <v>10</v>
      </c>
      <c r="L95" s="8"/>
      <c r="M95" s="48" t="s">
        <v>886</v>
      </c>
    </row>
    <row r="96" spans="1:13" s="15" customFormat="1" ht="22.5" x14ac:dyDescent="0.25">
      <c r="A96" s="8" t="s">
        <v>776</v>
      </c>
      <c r="B96" s="8">
        <v>11.1</v>
      </c>
      <c r="C96" s="3" t="s">
        <v>66</v>
      </c>
      <c r="D96" s="8" t="s">
        <v>887</v>
      </c>
      <c r="E96" s="8"/>
      <c r="F96" s="8"/>
      <c r="G96" s="45">
        <v>100</v>
      </c>
      <c r="H96" s="46"/>
      <c r="I96" s="46">
        <v>1</v>
      </c>
      <c r="J96" s="47">
        <f>365/84</f>
        <v>4.3452380952380949</v>
      </c>
      <c r="K96" s="42">
        <f>(G96*I96)/J96</f>
        <v>23.013698630136989</v>
      </c>
      <c r="L96" s="8"/>
      <c r="M96" s="48" t="s">
        <v>888</v>
      </c>
    </row>
    <row r="97" spans="1:13" x14ac:dyDescent="0.25">
      <c r="K97" s="50"/>
    </row>
    <row r="98" spans="1:13" s="15" customFormat="1" ht="11.25" x14ac:dyDescent="0.2">
      <c r="A98" s="3"/>
      <c r="B98" s="3"/>
      <c r="C98" s="3"/>
      <c r="D98" s="31" t="s">
        <v>801</v>
      </c>
      <c r="E98" s="20">
        <f>SUM(K6:K93)</f>
        <v>54.825110262619823</v>
      </c>
      <c r="J98" s="20"/>
      <c r="K98" s="51"/>
      <c r="L98" s="8"/>
      <c r="M98" s="8"/>
    </row>
    <row r="99" spans="1:13" s="15" customFormat="1" ht="11.25" x14ac:dyDescent="0.2">
      <c r="A99" s="3"/>
      <c r="B99" s="3"/>
      <c r="C99" s="3"/>
      <c r="D99" s="31" t="s">
        <v>802</v>
      </c>
      <c r="E99" s="20">
        <f>SUM(K94:K96)</f>
        <v>63.013698630136986</v>
      </c>
      <c r="J99" s="20"/>
      <c r="K99" s="51"/>
      <c r="L99" s="8"/>
      <c r="M99" s="8"/>
    </row>
    <row r="100" spans="1:13" s="15" customFormat="1" ht="11.25" x14ac:dyDescent="0.25">
      <c r="A100" s="3"/>
      <c r="B100" s="3"/>
      <c r="C100" s="3"/>
      <c r="D100" s="8"/>
      <c r="K100" s="51"/>
      <c r="L100" s="8"/>
      <c r="M100" s="8"/>
    </row>
    <row r="101" spans="1:13" s="15" customFormat="1" ht="11.25" x14ac:dyDescent="0.25">
      <c r="A101" s="3"/>
      <c r="B101" s="3"/>
      <c r="C101" s="3"/>
      <c r="D101" s="8"/>
      <c r="K101" s="51"/>
      <c r="L101" s="8"/>
      <c r="M101" s="8"/>
    </row>
    <row r="102" spans="1:13" s="15" customFormat="1" ht="11.25" x14ac:dyDescent="0.25">
      <c r="A102" s="3"/>
      <c r="B102" s="3"/>
      <c r="C102" s="3"/>
      <c r="D102" s="8"/>
      <c r="J102" s="20"/>
      <c r="K102" s="51"/>
      <c r="L102" s="8"/>
      <c r="M102" s="8"/>
    </row>
    <row r="103" spans="1:13" s="15" customFormat="1" ht="11.25" x14ac:dyDescent="0.25">
      <c r="A103" s="3"/>
      <c r="B103" s="3"/>
      <c r="C103" s="3"/>
      <c r="D103" s="8"/>
      <c r="K103" s="51"/>
      <c r="L103" s="8"/>
      <c r="M103" s="8"/>
    </row>
    <row r="104" spans="1:13" s="15" customFormat="1" ht="11.25" x14ac:dyDescent="0.25">
      <c r="A104" s="3"/>
      <c r="B104" s="3"/>
      <c r="C104" s="3"/>
      <c r="D104" s="8"/>
      <c r="J104" s="20"/>
      <c r="K104" s="51"/>
      <c r="L104" s="8"/>
      <c r="M104" s="8"/>
    </row>
    <row r="105" spans="1:13" s="15" customFormat="1" ht="11.25" x14ac:dyDescent="0.25">
      <c r="A105" s="3"/>
      <c r="B105" s="3"/>
      <c r="C105" s="3"/>
      <c r="D105" s="8"/>
      <c r="G105" s="20"/>
      <c r="J105" s="20"/>
      <c r="K105" s="51"/>
      <c r="L105" s="8"/>
      <c r="M105" s="8"/>
    </row>
    <row r="106" spans="1:13" s="15" customFormat="1" ht="11.25" x14ac:dyDescent="0.25">
      <c r="A106" s="3"/>
      <c r="B106" s="3"/>
      <c r="C106" s="3"/>
      <c r="D106" s="8"/>
      <c r="G106" s="20"/>
      <c r="K106" s="51"/>
      <c r="L106" s="8"/>
      <c r="M106" s="8"/>
    </row>
    <row r="107" spans="1:13" s="15" customFormat="1" ht="11.25" x14ac:dyDescent="0.25">
      <c r="A107" s="3"/>
      <c r="B107" s="3"/>
      <c r="C107" s="3"/>
      <c r="D107" s="8"/>
      <c r="K107" s="51"/>
      <c r="L107" s="8"/>
      <c r="M107" s="8"/>
    </row>
    <row r="108" spans="1:13" s="15" customFormat="1" ht="11.25" x14ac:dyDescent="0.25">
      <c r="A108" s="3"/>
      <c r="B108" s="3"/>
      <c r="C108" s="3"/>
      <c r="D108" s="8"/>
      <c r="K108" s="51"/>
      <c r="L108" s="8"/>
      <c r="M108" s="8"/>
    </row>
    <row r="109" spans="1:13" s="15" customFormat="1" ht="11.25" x14ac:dyDescent="0.25">
      <c r="A109" s="3"/>
      <c r="B109" s="3"/>
      <c r="C109" s="3"/>
      <c r="D109" s="8"/>
      <c r="G109" s="20"/>
      <c r="K109" s="51"/>
      <c r="L109" s="8"/>
      <c r="M109" s="8"/>
    </row>
    <row r="110" spans="1:13" s="15" customFormat="1" ht="11.25" x14ac:dyDescent="0.25">
      <c r="A110" s="3"/>
      <c r="B110" s="3"/>
      <c r="C110" s="3"/>
      <c r="D110" s="8"/>
      <c r="G110" s="20"/>
      <c r="K110" s="51"/>
      <c r="L110" s="8"/>
      <c r="M110" s="8"/>
    </row>
    <row r="111" spans="1:13" s="15" customFormat="1" ht="11.25" x14ac:dyDescent="0.25">
      <c r="A111" s="3"/>
      <c r="B111" s="3"/>
      <c r="C111" s="3"/>
      <c r="D111" s="8"/>
      <c r="K111" s="51"/>
      <c r="L111" s="8"/>
      <c r="M111" s="8"/>
    </row>
    <row r="112" spans="1:13" s="15" customFormat="1" ht="11.25" x14ac:dyDescent="0.25">
      <c r="A112" s="3"/>
      <c r="B112" s="3"/>
      <c r="C112" s="3"/>
      <c r="D112" s="8"/>
      <c r="K112" s="51"/>
      <c r="L112" s="8"/>
      <c r="M112" s="2"/>
    </row>
    <row r="113" spans="1:13" s="15" customFormat="1" ht="11.25" x14ac:dyDescent="0.25">
      <c r="A113" s="3"/>
      <c r="B113" s="3"/>
      <c r="C113" s="3"/>
      <c r="D113" s="8"/>
      <c r="K113" s="51"/>
      <c r="L113" s="8"/>
      <c r="M113" s="8"/>
    </row>
    <row r="114" spans="1:13" s="15" customFormat="1" ht="11.25" x14ac:dyDescent="0.25">
      <c r="A114" s="3"/>
      <c r="B114" s="3"/>
      <c r="C114" s="3"/>
      <c r="D114" s="8"/>
      <c r="E114" s="3"/>
      <c r="K114" s="51"/>
      <c r="L114" s="8"/>
      <c r="M114" s="3"/>
    </row>
    <row r="115" spans="1:13" s="15" customFormat="1" ht="11.25" x14ac:dyDescent="0.25">
      <c r="A115" s="3"/>
      <c r="B115" s="3"/>
      <c r="C115" s="3"/>
      <c r="D115" s="8"/>
      <c r="K115" s="51"/>
      <c r="L115" s="8"/>
    </row>
    <row r="116" spans="1:13" s="15" customFormat="1" ht="11.25" x14ac:dyDescent="0.25">
      <c r="A116" s="3"/>
      <c r="B116" s="3"/>
      <c r="C116" s="3"/>
      <c r="D116" s="8"/>
      <c r="J116" s="20"/>
      <c r="K116" s="51"/>
      <c r="L116" s="8"/>
      <c r="M116" s="8"/>
    </row>
    <row r="117" spans="1:13" s="15" customFormat="1" ht="11.25" x14ac:dyDescent="0.25">
      <c r="A117" s="3"/>
      <c r="B117" s="3"/>
      <c r="C117" s="3"/>
      <c r="D117" s="8"/>
      <c r="G117" s="20"/>
      <c r="J117" s="20"/>
      <c r="K117" s="51"/>
      <c r="L117" s="8"/>
      <c r="M117" s="3"/>
    </row>
    <row r="118" spans="1:13" s="15" customFormat="1" ht="11.25" x14ac:dyDescent="0.25">
      <c r="A118" s="3"/>
      <c r="B118" s="3"/>
      <c r="C118" s="3"/>
      <c r="D118" s="8"/>
      <c r="G118" s="20"/>
      <c r="K118" s="51"/>
      <c r="L118" s="8"/>
      <c r="M118" s="3"/>
    </row>
    <row r="119" spans="1:13" s="15" customFormat="1" ht="11.25" x14ac:dyDescent="0.25">
      <c r="A119" s="3"/>
      <c r="B119" s="3"/>
      <c r="C119" s="3"/>
      <c r="D119" s="8"/>
      <c r="G119" s="20"/>
      <c r="K119" s="51"/>
      <c r="L119" s="8"/>
    </row>
    <row r="120" spans="1:13" s="15" customFormat="1" ht="11.25" x14ac:dyDescent="0.25">
      <c r="A120" s="3"/>
      <c r="B120" s="3"/>
      <c r="C120" s="3"/>
      <c r="D120" s="8"/>
      <c r="G120" s="20"/>
      <c r="K120" s="51"/>
      <c r="L120" s="8"/>
    </row>
    <row r="121" spans="1:13" s="15" customFormat="1" ht="11.25" x14ac:dyDescent="0.25">
      <c r="A121" s="3"/>
      <c r="B121" s="3"/>
      <c r="C121" s="3"/>
      <c r="D121" s="8"/>
      <c r="K121" s="51"/>
      <c r="L121" s="8"/>
    </row>
    <row r="122" spans="1:13" s="15" customFormat="1" ht="11.25" x14ac:dyDescent="0.25">
      <c r="A122" s="3"/>
      <c r="B122" s="3"/>
      <c r="C122" s="3"/>
      <c r="D122" s="8"/>
      <c r="L122" s="8"/>
      <c r="M122" s="8"/>
    </row>
    <row r="123" spans="1:13" s="15" customFormat="1" ht="11.25" x14ac:dyDescent="0.25">
      <c r="A123" s="3"/>
      <c r="B123" s="3"/>
      <c r="C123" s="3"/>
      <c r="D123" s="8"/>
      <c r="G123" s="20"/>
      <c r="J123" s="20"/>
      <c r="L123" s="8"/>
    </row>
    <row r="124" spans="1:13" s="15" customFormat="1" ht="11.25" x14ac:dyDescent="0.25">
      <c r="A124" s="3"/>
      <c r="B124" s="3"/>
      <c r="C124" s="3"/>
      <c r="D124" s="8"/>
      <c r="L124" s="8"/>
      <c r="M124" s="8"/>
    </row>
    <row r="125" spans="1:13" s="15" customFormat="1" ht="11.25" x14ac:dyDescent="0.25">
      <c r="A125" s="3"/>
      <c r="B125" s="3"/>
      <c r="C125" s="3"/>
      <c r="D125" s="8"/>
      <c r="G125" s="20"/>
      <c r="K125" s="20"/>
      <c r="L125" s="8"/>
    </row>
    <row r="126" spans="1:13" s="15" customFormat="1" ht="11.25" x14ac:dyDescent="0.25">
      <c r="A126" s="3"/>
      <c r="B126" s="3"/>
      <c r="C126" s="3"/>
      <c r="D126" s="8"/>
      <c r="G126" s="20"/>
      <c r="J126" s="20"/>
      <c r="L126" s="8"/>
      <c r="M126" s="8"/>
    </row>
    <row r="127" spans="1:13" s="15" customFormat="1" ht="11.25" x14ac:dyDescent="0.25">
      <c r="A127" s="3"/>
      <c r="B127" s="3"/>
      <c r="C127" s="3"/>
      <c r="D127" s="8"/>
      <c r="G127" s="20"/>
      <c r="K127" s="20"/>
      <c r="L127" s="8"/>
      <c r="M127" s="8"/>
    </row>
    <row r="128" spans="1:13" s="15" customFormat="1" ht="11.25" x14ac:dyDescent="0.25">
      <c r="A128" s="3"/>
      <c r="B128" s="3"/>
      <c r="C128" s="3"/>
      <c r="D128" s="8"/>
      <c r="K128" s="20"/>
      <c r="L128" s="8"/>
    </row>
    <row r="129" spans="1:13" s="15" customFormat="1" ht="11.25" x14ac:dyDescent="0.25">
      <c r="A129" s="3"/>
      <c r="B129" s="3"/>
      <c r="C129" s="3"/>
      <c r="D129" s="8"/>
      <c r="G129" s="20"/>
      <c r="K129" s="20"/>
      <c r="L129" s="8"/>
      <c r="M129" s="8"/>
    </row>
    <row r="130" spans="1:13" s="15" customFormat="1" ht="11.25" x14ac:dyDescent="0.25">
      <c r="A130" s="3"/>
      <c r="B130" s="3"/>
      <c r="C130" s="3"/>
      <c r="D130" s="8"/>
      <c r="K130" s="20"/>
      <c r="L130" s="8"/>
    </row>
    <row r="131" spans="1:13" s="15" customFormat="1" ht="11.25" x14ac:dyDescent="0.25">
      <c r="A131" s="3"/>
      <c r="B131" s="3"/>
      <c r="C131" s="3"/>
      <c r="D131" s="8"/>
      <c r="G131" s="20"/>
      <c r="K131" s="20"/>
      <c r="L131" s="8"/>
      <c r="M131" s="8"/>
    </row>
    <row r="132" spans="1:13" s="15" customFormat="1" ht="11.25" x14ac:dyDescent="0.25">
      <c r="A132" s="3"/>
      <c r="B132" s="3"/>
      <c r="C132" s="3"/>
      <c r="D132" s="8"/>
      <c r="G132" s="20"/>
      <c r="J132" s="20"/>
      <c r="K132" s="20"/>
      <c r="L132" s="8"/>
      <c r="M132" s="8"/>
    </row>
    <row r="133" spans="1:13" s="15" customFormat="1" ht="11.25" x14ac:dyDescent="0.25">
      <c r="A133" s="3"/>
      <c r="B133" s="3"/>
      <c r="C133" s="3"/>
      <c r="D133" s="8"/>
      <c r="G133" s="20"/>
      <c r="K133" s="20"/>
      <c r="L133" s="8"/>
    </row>
    <row r="134" spans="1:13" s="15" customFormat="1" ht="11.25" x14ac:dyDescent="0.25">
      <c r="A134" s="3"/>
      <c r="B134" s="3"/>
      <c r="C134" s="3"/>
      <c r="D134" s="8"/>
      <c r="G134" s="20"/>
      <c r="K134" s="20"/>
      <c r="L134" s="8"/>
      <c r="M134" s="8"/>
    </row>
    <row r="135" spans="1:13" s="15" customFormat="1" ht="11.25" x14ac:dyDescent="0.25">
      <c r="A135" s="3"/>
      <c r="B135" s="3"/>
      <c r="C135" s="3"/>
      <c r="D135" s="8"/>
      <c r="G135" s="20"/>
      <c r="K135" s="20"/>
      <c r="L135" s="8"/>
      <c r="M135" s="8"/>
    </row>
    <row r="136" spans="1:13" s="15" customFormat="1" ht="11.25" x14ac:dyDescent="0.25">
      <c r="A136" s="3"/>
      <c r="B136" s="3"/>
      <c r="C136" s="3"/>
      <c r="D136" s="8"/>
      <c r="K136" s="20"/>
      <c r="L136" s="8"/>
      <c r="M136" s="8"/>
    </row>
    <row r="137" spans="1:13" s="15" customFormat="1" ht="11.25" x14ac:dyDescent="0.25">
      <c r="A137" s="3"/>
      <c r="B137" s="3"/>
      <c r="C137" s="3"/>
      <c r="D137" s="8"/>
      <c r="J137" s="20"/>
      <c r="K137" s="20"/>
      <c r="L137" s="8"/>
      <c r="M137" s="8"/>
    </row>
    <row r="138" spans="1:13" s="15" customFormat="1" ht="11.25" x14ac:dyDescent="0.25">
      <c r="A138" s="3"/>
      <c r="B138" s="3"/>
      <c r="C138" s="3"/>
      <c r="D138" s="8"/>
      <c r="G138" s="20"/>
      <c r="K138" s="20"/>
      <c r="L138" s="8"/>
    </row>
    <row r="139" spans="1:13" s="15" customFormat="1" ht="11.25" x14ac:dyDescent="0.25">
      <c r="A139" s="3"/>
      <c r="B139" s="3"/>
      <c r="C139" s="3"/>
      <c r="D139" s="8"/>
      <c r="K139" s="20"/>
      <c r="L139" s="8"/>
    </row>
    <row r="140" spans="1:13" s="15" customFormat="1" ht="11.25" x14ac:dyDescent="0.25">
      <c r="A140" s="3"/>
      <c r="B140" s="3"/>
      <c r="C140" s="3"/>
      <c r="D140" s="8"/>
      <c r="K140" s="20"/>
      <c r="L140" s="8"/>
    </row>
    <row r="141" spans="1:13" s="15" customFormat="1" ht="11.25" x14ac:dyDescent="0.25">
      <c r="A141" s="3"/>
      <c r="B141" s="3"/>
      <c r="C141" s="3"/>
      <c r="D141" s="8"/>
      <c r="L141" s="8"/>
    </row>
    <row r="142" spans="1:13" s="15" customFormat="1" ht="11.25" x14ac:dyDescent="0.25">
      <c r="A142" s="3"/>
      <c r="B142" s="3"/>
      <c r="C142" s="3"/>
      <c r="D142" s="8"/>
      <c r="L142" s="8"/>
    </row>
    <row r="143" spans="1:13" s="15" customFormat="1" ht="11.25" x14ac:dyDescent="0.25">
      <c r="A143" s="3"/>
      <c r="B143" s="3"/>
      <c r="C143" s="3"/>
      <c r="D143" s="8"/>
      <c r="L143" s="8"/>
    </row>
    <row r="144" spans="1:13" s="15" customFormat="1" ht="11.25" x14ac:dyDescent="0.25">
      <c r="A144" s="3"/>
      <c r="B144" s="3"/>
      <c r="C144" s="3"/>
      <c r="D144" s="8"/>
      <c r="K144" s="20"/>
      <c r="L144" s="8"/>
      <c r="M144" s="8"/>
    </row>
    <row r="145" spans="1:13" s="15" customFormat="1" ht="11.25" x14ac:dyDescent="0.25">
      <c r="A145" s="3"/>
      <c r="B145" s="3"/>
      <c r="C145" s="3"/>
      <c r="D145" s="8"/>
      <c r="G145" s="20"/>
      <c r="K145" s="20"/>
      <c r="L145" s="8"/>
      <c r="M145" s="8"/>
    </row>
    <row r="146" spans="1:13" s="15" customFormat="1" ht="11.25" x14ac:dyDescent="0.25">
      <c r="A146" s="3"/>
      <c r="B146" s="3"/>
      <c r="C146" s="3"/>
      <c r="D146" s="8"/>
      <c r="G146" s="20"/>
      <c r="J146" s="20"/>
      <c r="K146" s="20"/>
      <c r="L146" s="8"/>
    </row>
    <row r="147" spans="1:13" s="15" customFormat="1" ht="11.25" x14ac:dyDescent="0.25">
      <c r="A147" s="3"/>
      <c r="B147" s="3"/>
      <c r="C147" s="3"/>
      <c r="D147" s="8"/>
      <c r="G147" s="20"/>
      <c r="J147" s="20"/>
      <c r="L147" s="8"/>
    </row>
    <row r="148" spans="1:13" s="15" customFormat="1" ht="11.25" x14ac:dyDescent="0.25">
      <c r="A148" s="3"/>
      <c r="B148" s="3"/>
      <c r="C148" s="3"/>
      <c r="D148" s="8"/>
      <c r="G148" s="20"/>
      <c r="J148" s="20"/>
      <c r="L148" s="8"/>
      <c r="M148" s="3"/>
    </row>
    <row r="149" spans="1:13" s="15" customFormat="1" ht="11.25" x14ac:dyDescent="0.25">
      <c r="A149" s="3"/>
      <c r="B149" s="3"/>
      <c r="C149" s="3"/>
      <c r="D149" s="8"/>
      <c r="G149" s="20"/>
      <c r="J149" s="20"/>
      <c r="K149" s="20"/>
      <c r="L149" s="8"/>
    </row>
    <row r="150" spans="1:13" s="15" customFormat="1" ht="11.25" x14ac:dyDescent="0.25">
      <c r="A150" s="3"/>
      <c r="B150" s="3"/>
      <c r="C150" s="3"/>
      <c r="D150" s="8"/>
      <c r="G150" s="20"/>
      <c r="J150" s="20"/>
      <c r="K150" s="20"/>
      <c r="L150" s="8"/>
      <c r="M150" s="3"/>
    </row>
    <row r="151" spans="1:13" s="15" customFormat="1" ht="11.25" x14ac:dyDescent="0.25">
      <c r="A151" s="3"/>
      <c r="B151" s="3"/>
      <c r="C151" s="3"/>
      <c r="D151" s="8"/>
      <c r="G151" s="20"/>
      <c r="K151" s="20"/>
      <c r="L151" s="8"/>
    </row>
    <row r="152" spans="1:13" s="15" customFormat="1" ht="11.25" x14ac:dyDescent="0.25">
      <c r="A152" s="3"/>
      <c r="B152" s="3"/>
      <c r="C152" s="3"/>
      <c r="D152" s="8"/>
      <c r="G152" s="20"/>
      <c r="K152" s="20"/>
      <c r="L152" s="8"/>
    </row>
    <row r="153" spans="1:13" s="15" customFormat="1" ht="11.25" x14ac:dyDescent="0.25">
      <c r="A153" s="3"/>
      <c r="B153" s="3"/>
      <c r="C153" s="3"/>
      <c r="D153" s="8"/>
      <c r="K153" s="20"/>
      <c r="L153" s="8"/>
    </row>
    <row r="154" spans="1:13" s="15" customFormat="1" ht="11.25" x14ac:dyDescent="0.25">
      <c r="A154" s="3"/>
      <c r="B154" s="3"/>
      <c r="C154" s="3"/>
      <c r="D154" s="8"/>
      <c r="G154" s="20"/>
      <c r="K154" s="20"/>
      <c r="L154" s="8"/>
      <c r="M154" s="2"/>
    </row>
    <row r="155" spans="1:13" s="15" customFormat="1" ht="11.25" x14ac:dyDescent="0.25">
      <c r="A155" s="3"/>
      <c r="B155" s="3"/>
      <c r="C155" s="3"/>
      <c r="D155" s="8"/>
      <c r="G155" s="20"/>
      <c r="K155" s="20"/>
      <c r="L155" s="8"/>
      <c r="M155" s="8"/>
    </row>
    <row r="156" spans="1:13" s="15" customFormat="1" ht="11.25" x14ac:dyDescent="0.25">
      <c r="A156" s="3"/>
      <c r="B156" s="3"/>
      <c r="C156" s="3"/>
      <c r="D156" s="8"/>
      <c r="G156" s="20"/>
      <c r="K156" s="20"/>
      <c r="L156" s="8"/>
    </row>
    <row r="157" spans="1:13" s="15" customFormat="1" ht="11.25" x14ac:dyDescent="0.25">
      <c r="A157" s="3"/>
      <c r="B157" s="3"/>
      <c r="C157" s="3"/>
      <c r="D157" s="8"/>
      <c r="G157" s="20"/>
      <c r="K157" s="20"/>
      <c r="L157" s="8"/>
    </row>
    <row r="158" spans="1:13" s="15" customFormat="1" ht="11.25" x14ac:dyDescent="0.25">
      <c r="A158" s="3"/>
      <c r="B158" s="3"/>
      <c r="C158" s="3"/>
      <c r="D158" s="8"/>
      <c r="K158" s="20"/>
      <c r="L158" s="8"/>
      <c r="M158" s="8"/>
    </row>
    <row r="159" spans="1:13" s="15" customFormat="1" ht="11.25" x14ac:dyDescent="0.25">
      <c r="A159" s="3"/>
      <c r="B159" s="3"/>
      <c r="C159" s="3"/>
      <c r="D159" s="8"/>
      <c r="K159" s="20"/>
      <c r="L159" s="8"/>
      <c r="M159" s="3"/>
    </row>
    <row r="160" spans="1:13" s="15" customFormat="1" ht="11.25" x14ac:dyDescent="0.25">
      <c r="A160" s="3"/>
      <c r="B160" s="3"/>
      <c r="C160" s="3"/>
      <c r="D160" s="8"/>
      <c r="J160" s="20"/>
      <c r="K160" s="20"/>
      <c r="L160" s="8"/>
    </row>
    <row r="161" spans="1:13" s="15" customFormat="1" ht="11.25" x14ac:dyDescent="0.25">
      <c r="A161" s="3"/>
      <c r="B161" s="3"/>
      <c r="C161" s="3"/>
      <c r="D161" s="8"/>
      <c r="G161" s="20"/>
      <c r="J161" s="20"/>
      <c r="K161" s="20"/>
      <c r="L161" s="8"/>
      <c r="M161" s="2"/>
    </row>
    <row r="162" spans="1:13" s="15" customFormat="1" ht="11.25" x14ac:dyDescent="0.25">
      <c r="A162" s="3"/>
      <c r="B162" s="3"/>
      <c r="C162" s="3"/>
      <c r="D162" s="8"/>
      <c r="J162" s="20"/>
      <c r="K162" s="20"/>
      <c r="L162" s="8"/>
      <c r="M162" s="3"/>
    </row>
    <row r="163" spans="1:13" s="15" customFormat="1" ht="11.25" x14ac:dyDescent="0.25">
      <c r="A163" s="3"/>
      <c r="B163" s="3"/>
      <c r="C163" s="3"/>
      <c r="D163" s="8"/>
      <c r="K163" s="20"/>
      <c r="L163" s="8"/>
      <c r="M163" s="2"/>
    </row>
    <row r="164" spans="1:13" s="15" customFormat="1" ht="11.25" x14ac:dyDescent="0.25">
      <c r="A164" s="3"/>
      <c r="B164" s="3"/>
      <c r="C164" s="3"/>
      <c r="D164" s="8"/>
      <c r="J164" s="20"/>
      <c r="K164" s="20"/>
      <c r="L164" s="8"/>
      <c r="M164" s="8"/>
    </row>
    <row r="165" spans="1:13" s="15" customFormat="1" ht="11.25" x14ac:dyDescent="0.25">
      <c r="A165" s="3"/>
      <c r="B165" s="3"/>
      <c r="C165" s="3"/>
      <c r="D165" s="8"/>
      <c r="K165" s="20"/>
      <c r="L165" s="8"/>
    </row>
    <row r="166" spans="1:13" s="15" customFormat="1" ht="11.25" x14ac:dyDescent="0.25">
      <c r="A166" s="3"/>
      <c r="B166" s="3"/>
      <c r="C166" s="3"/>
      <c r="D166" s="8"/>
      <c r="G166" s="20"/>
      <c r="K166" s="20"/>
      <c r="L166" s="8"/>
    </row>
    <row r="167" spans="1:13" s="15" customFormat="1" ht="11.25" x14ac:dyDescent="0.25">
      <c r="A167" s="3"/>
      <c r="B167" s="3"/>
      <c r="C167" s="3"/>
      <c r="D167" s="8"/>
      <c r="G167" s="20"/>
      <c r="K167" s="20"/>
      <c r="L167" s="8"/>
      <c r="M167" s="8"/>
    </row>
    <row r="168" spans="1:13" s="15" customFormat="1" ht="11.25" x14ac:dyDescent="0.25">
      <c r="A168" s="3"/>
      <c r="B168" s="3"/>
      <c r="C168" s="3"/>
      <c r="D168" s="8"/>
      <c r="K168" s="20"/>
      <c r="L168" s="8"/>
    </row>
    <row r="169" spans="1:13" s="15" customFormat="1" ht="11.25" x14ac:dyDescent="0.25">
      <c r="A169" s="3"/>
      <c r="B169" s="3"/>
      <c r="C169" s="3"/>
      <c r="D169" s="8"/>
      <c r="G169" s="20"/>
      <c r="J169" s="20"/>
      <c r="K169" s="20"/>
      <c r="L169" s="8"/>
      <c r="M169" s="3"/>
    </row>
    <row r="170" spans="1:13" s="15" customFormat="1" ht="11.25" x14ac:dyDescent="0.25">
      <c r="A170" s="3"/>
      <c r="B170" s="3"/>
      <c r="C170" s="3"/>
      <c r="D170" s="8"/>
      <c r="G170" s="20"/>
      <c r="K170" s="20"/>
      <c r="L170" s="8"/>
    </row>
    <row r="171" spans="1:13" s="15" customFormat="1" ht="11.25" x14ac:dyDescent="0.25">
      <c r="A171" s="3"/>
      <c r="B171" s="3"/>
      <c r="C171" s="3"/>
      <c r="D171" s="8"/>
      <c r="G171" s="20"/>
      <c r="J171" s="20"/>
      <c r="K171" s="20"/>
      <c r="L171" s="8"/>
      <c r="M171" s="8"/>
    </row>
    <row r="172" spans="1:13" s="15" customFormat="1" ht="11.25" x14ac:dyDescent="0.25">
      <c r="A172" s="3"/>
      <c r="B172" s="3"/>
      <c r="C172" s="3"/>
      <c r="D172" s="8"/>
      <c r="G172" s="20"/>
      <c r="J172" s="20"/>
      <c r="K172" s="20"/>
      <c r="L172" s="8"/>
      <c r="M172" s="8"/>
    </row>
    <row r="173" spans="1:13" s="15" customFormat="1" ht="11.25" x14ac:dyDescent="0.25">
      <c r="A173" s="3"/>
      <c r="B173" s="3"/>
      <c r="C173" s="3"/>
      <c r="D173" s="8"/>
      <c r="G173" s="20"/>
      <c r="J173" s="20"/>
      <c r="K173" s="20"/>
      <c r="L173" s="8"/>
      <c r="M173" s="3"/>
    </row>
    <row r="174" spans="1:13" s="15" customFormat="1" ht="11.25" x14ac:dyDescent="0.25">
      <c r="A174" s="3"/>
      <c r="B174" s="3"/>
      <c r="C174" s="3"/>
      <c r="D174" s="8"/>
      <c r="G174" s="20"/>
      <c r="K174" s="20"/>
      <c r="L174" s="8"/>
      <c r="M174" s="2"/>
    </row>
    <row r="175" spans="1:13" s="15" customFormat="1" ht="11.25" x14ac:dyDescent="0.25">
      <c r="A175" s="3"/>
      <c r="B175" s="3"/>
      <c r="C175" s="3"/>
      <c r="D175" s="8"/>
      <c r="G175" s="20"/>
      <c r="K175" s="20"/>
      <c r="L175" s="8"/>
      <c r="M175" s="8"/>
    </row>
    <row r="176" spans="1:13" s="15" customFormat="1" ht="11.25" x14ac:dyDescent="0.25">
      <c r="A176" s="10"/>
      <c r="B176" s="10"/>
      <c r="C176" s="3"/>
      <c r="D176" s="8"/>
      <c r="E176" s="8"/>
      <c r="F176" s="10"/>
      <c r="G176" s="52"/>
      <c r="H176" s="10"/>
      <c r="I176" s="10"/>
      <c r="J176" s="52"/>
      <c r="K176" s="52"/>
      <c r="L176" s="8"/>
      <c r="M176" s="8"/>
    </row>
    <row r="177" spans="1:13" s="15" customFormat="1" ht="11.25" x14ac:dyDescent="0.25">
      <c r="A177" s="10"/>
      <c r="B177" s="10"/>
      <c r="C177" s="3"/>
      <c r="D177" s="8"/>
      <c r="E177" s="8"/>
      <c r="F177" s="10"/>
      <c r="G177" s="52"/>
      <c r="H177" s="52"/>
      <c r="I177" s="10"/>
      <c r="J177" s="52"/>
      <c r="K177" s="52"/>
      <c r="L177" s="8"/>
      <c r="M177" s="8"/>
    </row>
    <row r="178" spans="1:13" s="15" customFormat="1" ht="11.25" x14ac:dyDescent="0.25">
      <c r="A178" s="8"/>
      <c r="B178" s="8"/>
      <c r="C178" s="3"/>
      <c r="D178" s="8"/>
      <c r="E178" s="8"/>
      <c r="F178" s="8"/>
      <c r="G178" s="17"/>
      <c r="H178" s="8"/>
      <c r="I178" s="8"/>
      <c r="J178" s="17"/>
      <c r="K178" s="52"/>
      <c r="L178" s="53"/>
      <c r="M178" s="8"/>
    </row>
    <row r="179" spans="1:13" s="15" customFormat="1" ht="11.25" x14ac:dyDescent="0.25">
      <c r="A179" s="8"/>
      <c r="B179" s="8"/>
      <c r="C179" s="3"/>
      <c r="D179" s="8"/>
      <c r="E179" s="8"/>
      <c r="F179" s="8"/>
      <c r="G179" s="17"/>
      <c r="H179" s="8"/>
      <c r="I179" s="8"/>
      <c r="J179" s="17"/>
      <c r="K179" s="52"/>
      <c r="L179" s="53"/>
      <c r="M179" s="48"/>
    </row>
    <row r="181" spans="1:13" s="4" customFormat="1" ht="11.25" x14ac:dyDescent="0.25">
      <c r="A181" s="2"/>
      <c r="B181" s="3"/>
      <c r="C181" s="2"/>
      <c r="D181" s="3"/>
      <c r="G181" s="20"/>
      <c r="H181" s="15"/>
      <c r="I181" s="15"/>
      <c r="J181" s="20"/>
      <c r="K181" s="20"/>
      <c r="L181" s="8"/>
      <c r="M181" s="8"/>
    </row>
    <row r="182" spans="1:13" s="4" customFormat="1" ht="11.25" x14ac:dyDescent="0.25">
      <c r="A182" s="2"/>
      <c r="B182" s="3"/>
      <c r="C182" s="2"/>
      <c r="D182" s="8"/>
      <c r="G182" s="15"/>
      <c r="H182" s="15"/>
      <c r="I182" s="15"/>
      <c r="J182" s="20"/>
      <c r="K182" s="20"/>
      <c r="L182" s="8"/>
      <c r="M182" s="8"/>
    </row>
    <row r="183" spans="1:13" s="4" customFormat="1" ht="11.25" x14ac:dyDescent="0.25">
      <c r="A183" s="2"/>
      <c r="B183" s="3"/>
      <c r="C183" s="2"/>
      <c r="D183" s="8"/>
      <c r="E183" s="3"/>
      <c r="F183" s="3"/>
      <c r="G183" s="51"/>
      <c r="H183" s="3"/>
      <c r="I183" s="15"/>
      <c r="J183" s="20"/>
      <c r="K183" s="20"/>
      <c r="L183" s="8"/>
      <c r="M183" s="3"/>
    </row>
    <row r="184" spans="1:13" s="4" customFormat="1" ht="11.25" x14ac:dyDescent="0.25">
      <c r="A184" s="2"/>
      <c r="B184" s="3"/>
      <c r="C184" s="2"/>
      <c r="D184" s="8"/>
      <c r="G184" s="15"/>
      <c r="H184" s="15"/>
      <c r="I184" s="15"/>
      <c r="J184" s="20"/>
      <c r="K184" s="20"/>
      <c r="L184" s="8"/>
      <c r="M184" s="8"/>
    </row>
    <row r="185" spans="1:13" s="4" customFormat="1" ht="11.25" x14ac:dyDescent="0.25">
      <c r="A185" s="2"/>
      <c r="B185" s="3"/>
      <c r="C185" s="2"/>
      <c r="D185" s="8"/>
      <c r="G185" s="15"/>
      <c r="H185" s="15"/>
      <c r="I185" s="15"/>
      <c r="J185" s="20"/>
      <c r="K185" s="20"/>
      <c r="L185" s="8"/>
      <c r="M185" s="8"/>
    </row>
    <row r="186" spans="1:13" s="4" customFormat="1" ht="11.25" x14ac:dyDescent="0.25">
      <c r="A186" s="2"/>
      <c r="B186" s="3"/>
      <c r="C186" s="2"/>
      <c r="D186" s="8"/>
      <c r="G186" s="15"/>
      <c r="H186" s="15"/>
      <c r="I186" s="15"/>
      <c r="J186" s="20"/>
      <c r="K186" s="20"/>
      <c r="L186" s="8"/>
      <c r="M186" s="8"/>
    </row>
    <row r="187" spans="1:13" s="4" customFormat="1" ht="11.25" x14ac:dyDescent="0.25">
      <c r="A187" s="2"/>
      <c r="B187" s="3"/>
      <c r="C187" s="2"/>
      <c r="D187" s="8"/>
      <c r="G187" s="15"/>
      <c r="H187" s="15"/>
      <c r="I187" s="15"/>
      <c r="J187" s="20"/>
      <c r="K187" s="20"/>
      <c r="L187" s="8"/>
      <c r="M187" s="8"/>
    </row>
    <row r="188" spans="1:13" s="4" customFormat="1" ht="11.25" x14ac:dyDescent="0.25">
      <c r="A188" s="2"/>
      <c r="B188" s="3"/>
      <c r="C188" s="2"/>
      <c r="D188" s="8"/>
      <c r="G188" s="15"/>
      <c r="H188" s="15"/>
      <c r="I188" s="15"/>
      <c r="J188" s="20"/>
      <c r="K188" s="20"/>
      <c r="L188" s="8"/>
      <c r="M188" s="8"/>
    </row>
    <row r="189" spans="1:13" s="4" customFormat="1" ht="11.25" x14ac:dyDescent="0.25">
      <c r="A189" s="2"/>
      <c r="B189" s="3"/>
      <c r="C189" s="2"/>
      <c r="D189" s="8"/>
      <c r="G189" s="15"/>
      <c r="H189" s="15"/>
      <c r="I189" s="15"/>
      <c r="J189" s="20"/>
      <c r="K189" s="20"/>
      <c r="L189" s="8"/>
      <c r="M189" s="8"/>
    </row>
    <row r="190" spans="1:13" s="4" customFormat="1" ht="11.25" x14ac:dyDescent="0.25">
      <c r="A190" s="2"/>
      <c r="B190" s="3"/>
      <c r="C190" s="2"/>
      <c r="D190" s="8"/>
      <c r="G190" s="15"/>
      <c r="H190" s="15"/>
      <c r="I190" s="15"/>
      <c r="J190" s="20"/>
      <c r="K190" s="20"/>
      <c r="L190" s="8"/>
      <c r="M190" s="8"/>
    </row>
    <row r="191" spans="1:13" s="4" customFormat="1" ht="11.25" x14ac:dyDescent="0.25">
      <c r="A191" s="2"/>
      <c r="B191" s="3"/>
      <c r="C191" s="2"/>
      <c r="D191" s="8"/>
      <c r="G191" s="15"/>
      <c r="H191" s="15"/>
      <c r="I191" s="15"/>
      <c r="J191" s="20"/>
      <c r="K191" s="20"/>
      <c r="L191" s="8"/>
      <c r="M191" s="8"/>
    </row>
    <row r="192" spans="1:13" s="4" customFormat="1" ht="11.25" x14ac:dyDescent="0.25">
      <c r="A192" s="2"/>
      <c r="B192" s="3"/>
      <c r="C192" s="2"/>
      <c r="D192" s="8"/>
      <c r="G192" s="15"/>
      <c r="H192" s="15"/>
      <c r="I192" s="15"/>
      <c r="J192" s="20"/>
      <c r="K192" s="20"/>
      <c r="L192" s="8"/>
      <c r="M192" s="8"/>
    </row>
    <row r="193" spans="1:13" s="4" customFormat="1" ht="11.25" x14ac:dyDescent="0.25">
      <c r="A193" s="2"/>
      <c r="B193" s="3"/>
      <c r="C193" s="2"/>
      <c r="D193" s="8"/>
      <c r="E193" s="2"/>
      <c r="G193" s="15"/>
      <c r="H193" s="15"/>
      <c r="I193" s="15"/>
      <c r="J193" s="20"/>
      <c r="K193" s="20"/>
      <c r="L193" s="8"/>
      <c r="M193" s="8"/>
    </row>
    <row r="194" spans="1:13" s="4" customFormat="1" ht="11.25" x14ac:dyDescent="0.25">
      <c r="A194" s="2"/>
      <c r="B194" s="3"/>
      <c r="C194" s="2"/>
      <c r="D194" s="8"/>
      <c r="G194" s="15"/>
      <c r="H194" s="15"/>
      <c r="I194" s="15"/>
      <c r="J194" s="20"/>
      <c r="K194" s="20"/>
      <c r="L194" s="8"/>
      <c r="M194" s="8"/>
    </row>
    <row r="195" spans="1:13" s="4" customFormat="1" ht="11.25" x14ac:dyDescent="0.25">
      <c r="A195" s="2"/>
      <c r="B195" s="3"/>
      <c r="C195" s="2"/>
      <c r="D195" s="8"/>
      <c r="G195" s="15"/>
      <c r="H195" s="15"/>
      <c r="I195" s="15"/>
      <c r="J195" s="20"/>
      <c r="K195" s="20"/>
      <c r="L195" s="8"/>
      <c r="M195" s="8"/>
    </row>
    <row r="196" spans="1:13" s="4" customFormat="1" ht="11.25" x14ac:dyDescent="0.25">
      <c r="A196" s="2"/>
      <c r="B196" s="3"/>
      <c r="C196" s="2"/>
      <c r="D196" s="8"/>
      <c r="G196" s="15"/>
      <c r="H196" s="15"/>
      <c r="I196" s="15"/>
      <c r="J196" s="20"/>
      <c r="K196" s="20"/>
      <c r="L196" s="8"/>
      <c r="M196" s="8"/>
    </row>
    <row r="197" spans="1:13" s="4" customFormat="1" ht="11.25" x14ac:dyDescent="0.25">
      <c r="A197" s="2"/>
      <c r="B197" s="3"/>
      <c r="C197" s="2"/>
      <c r="D197" s="8"/>
      <c r="G197" s="15"/>
      <c r="H197" s="15"/>
      <c r="I197" s="15"/>
      <c r="J197" s="20"/>
      <c r="K197" s="20"/>
      <c r="L197" s="8"/>
      <c r="M197" s="8"/>
    </row>
    <row r="198" spans="1:13" s="4" customFormat="1" ht="11.25" x14ac:dyDescent="0.25">
      <c r="A198" s="2"/>
      <c r="B198" s="3"/>
      <c r="C198" s="2"/>
      <c r="D198" s="8"/>
      <c r="G198" s="15"/>
      <c r="H198" s="15"/>
      <c r="I198" s="15"/>
      <c r="J198" s="20"/>
      <c r="K198" s="20"/>
      <c r="L198" s="8"/>
      <c r="M198" s="8"/>
    </row>
    <row r="199" spans="1:13" s="4" customFormat="1" ht="11.25" x14ac:dyDescent="0.25">
      <c r="A199" s="2"/>
      <c r="B199" s="3"/>
      <c r="C199" s="2"/>
      <c r="D199" s="8"/>
      <c r="G199" s="15"/>
      <c r="H199" s="15"/>
      <c r="I199" s="15"/>
      <c r="J199" s="20"/>
      <c r="K199" s="20"/>
      <c r="L199" s="8"/>
      <c r="M199" s="8"/>
    </row>
    <row r="200" spans="1:13" s="4" customFormat="1" ht="11.25" x14ac:dyDescent="0.25">
      <c r="A200" s="2"/>
      <c r="B200" s="3"/>
      <c r="C200" s="2"/>
      <c r="D200" s="8"/>
      <c r="G200" s="20"/>
      <c r="H200" s="15"/>
      <c r="I200" s="15"/>
      <c r="J200" s="20"/>
      <c r="K200" s="20"/>
      <c r="L200" s="8"/>
      <c r="M200" s="8"/>
    </row>
    <row r="201" spans="1:13" s="4" customFormat="1" ht="11.25" x14ac:dyDescent="0.25">
      <c r="A201" s="2"/>
      <c r="B201" s="3"/>
      <c r="C201" s="2"/>
      <c r="D201" s="8"/>
      <c r="G201" s="15"/>
      <c r="H201" s="15"/>
      <c r="I201" s="15"/>
      <c r="J201" s="20"/>
      <c r="K201" s="20"/>
      <c r="L201" s="8"/>
      <c r="M201" s="8"/>
    </row>
    <row r="202" spans="1:13" s="4" customFormat="1" ht="11.25" x14ac:dyDescent="0.25">
      <c r="A202" s="2"/>
      <c r="B202" s="3"/>
      <c r="C202" s="2"/>
      <c r="D202" s="8"/>
      <c r="G202" s="15"/>
      <c r="H202" s="15"/>
      <c r="I202" s="15"/>
      <c r="J202" s="20"/>
      <c r="K202" s="20"/>
      <c r="L202" s="8"/>
      <c r="M202" s="8"/>
    </row>
    <row r="203" spans="1:13" s="4" customFormat="1" ht="11.25" x14ac:dyDescent="0.25">
      <c r="A203" s="2"/>
      <c r="B203" s="3"/>
      <c r="C203" s="2"/>
      <c r="D203" s="8"/>
      <c r="G203" s="15"/>
      <c r="H203" s="15"/>
      <c r="I203" s="15"/>
      <c r="J203" s="20"/>
      <c r="K203" s="20"/>
      <c r="L203" s="8"/>
      <c r="M203" s="8"/>
    </row>
    <row r="204" spans="1:13" s="4" customFormat="1" ht="11.25" x14ac:dyDescent="0.25">
      <c r="A204" s="2"/>
      <c r="B204" s="3"/>
      <c r="C204" s="2"/>
      <c r="D204" s="8"/>
      <c r="G204" s="15"/>
      <c r="H204" s="15"/>
      <c r="I204" s="15"/>
      <c r="J204" s="20"/>
      <c r="K204" s="20"/>
      <c r="L204" s="8"/>
      <c r="M204" s="8"/>
    </row>
    <row r="205" spans="1:13" s="4" customFormat="1" ht="11.25" x14ac:dyDescent="0.25">
      <c r="A205" s="2"/>
      <c r="B205" s="3"/>
      <c r="C205" s="2"/>
      <c r="D205" s="8"/>
      <c r="G205" s="15"/>
      <c r="H205" s="15"/>
      <c r="I205" s="15"/>
      <c r="J205" s="20"/>
      <c r="K205" s="20"/>
      <c r="L205" s="8"/>
      <c r="M205" s="8"/>
    </row>
    <row r="206" spans="1:13" s="4" customFormat="1" ht="11.25" x14ac:dyDescent="0.25">
      <c r="A206" s="2"/>
      <c r="B206" s="3"/>
      <c r="C206" s="2"/>
      <c r="D206" s="8"/>
      <c r="G206" s="15"/>
      <c r="H206" s="15"/>
      <c r="I206" s="15"/>
      <c r="J206" s="20"/>
      <c r="K206" s="20"/>
      <c r="L206" s="8"/>
      <c r="M206" s="8"/>
    </row>
    <row r="207" spans="1:13" s="4" customFormat="1" ht="11.25" x14ac:dyDescent="0.25">
      <c r="A207" s="2"/>
      <c r="B207" s="3"/>
      <c r="C207" s="2"/>
      <c r="D207" s="8"/>
      <c r="G207" s="15"/>
      <c r="H207" s="15"/>
      <c r="I207" s="15"/>
      <c r="J207" s="20"/>
      <c r="K207" s="20"/>
      <c r="L207" s="8"/>
      <c r="M207" s="2"/>
    </row>
    <row r="208" spans="1:13" s="4" customFormat="1" ht="11.25" x14ac:dyDescent="0.25">
      <c r="A208" s="2"/>
      <c r="B208" s="3"/>
      <c r="C208" s="2"/>
      <c r="D208" s="8"/>
      <c r="G208" s="15"/>
      <c r="H208" s="15"/>
      <c r="I208" s="15"/>
      <c r="J208" s="20"/>
      <c r="K208" s="20"/>
      <c r="L208" s="8"/>
      <c r="M208" s="2"/>
    </row>
    <row r="209" spans="1:13" s="4" customFormat="1" ht="11.25" x14ac:dyDescent="0.25">
      <c r="A209" s="2"/>
      <c r="B209" s="3"/>
      <c r="C209" s="2"/>
      <c r="D209" s="8"/>
      <c r="G209" s="15"/>
      <c r="H209" s="15"/>
      <c r="I209" s="15"/>
      <c r="J209" s="20"/>
      <c r="K209" s="20"/>
      <c r="L209" s="8"/>
      <c r="M209" s="2"/>
    </row>
    <row r="210" spans="1:13" s="4" customFormat="1" ht="11.25" x14ac:dyDescent="0.25">
      <c r="A210" s="2"/>
      <c r="B210" s="3"/>
      <c r="C210" s="2"/>
      <c r="D210" s="8"/>
      <c r="G210" s="15"/>
      <c r="H210" s="15"/>
      <c r="I210" s="15"/>
      <c r="J210" s="20"/>
      <c r="K210" s="20"/>
      <c r="L210" s="8"/>
      <c r="M210" s="2"/>
    </row>
    <row r="211" spans="1:13" s="4" customFormat="1" ht="11.25" x14ac:dyDescent="0.25">
      <c r="A211" s="2"/>
      <c r="B211" s="3"/>
      <c r="C211" s="2"/>
      <c r="D211" s="8"/>
      <c r="G211" s="15"/>
      <c r="H211" s="15"/>
      <c r="I211" s="15"/>
      <c r="J211" s="20"/>
      <c r="K211" s="20"/>
      <c r="L211" s="8"/>
      <c r="M211" s="2"/>
    </row>
    <row r="212" spans="1:13" s="4" customFormat="1" ht="11.25" x14ac:dyDescent="0.25">
      <c r="A212" s="2"/>
      <c r="B212" s="3"/>
      <c r="C212" s="2"/>
      <c r="D212" s="8"/>
      <c r="G212" s="15"/>
      <c r="H212" s="15"/>
      <c r="I212" s="15"/>
      <c r="J212" s="20"/>
      <c r="K212" s="20"/>
      <c r="L212" s="8"/>
      <c r="M212" s="2"/>
    </row>
    <row r="213" spans="1:13" s="4" customFormat="1" ht="11.25" x14ac:dyDescent="0.25">
      <c r="A213" s="2"/>
      <c r="B213" s="3"/>
      <c r="C213" s="2"/>
      <c r="D213" s="8"/>
      <c r="G213" s="15"/>
      <c r="H213" s="15"/>
      <c r="I213" s="15"/>
      <c r="J213" s="20"/>
      <c r="K213" s="20"/>
      <c r="L213" s="8"/>
      <c r="M213" s="2"/>
    </row>
    <row r="214" spans="1:13" s="4" customFormat="1" ht="11.25" x14ac:dyDescent="0.25">
      <c r="A214" s="2"/>
      <c r="B214" s="3"/>
      <c r="C214" s="2"/>
      <c r="D214" s="8"/>
      <c r="G214" s="15"/>
      <c r="H214" s="15"/>
      <c r="I214" s="15"/>
      <c r="J214" s="20"/>
      <c r="K214" s="20"/>
      <c r="L214" s="8"/>
      <c r="M214" s="2"/>
    </row>
    <row r="215" spans="1:13" s="4" customFormat="1" ht="11.25" x14ac:dyDescent="0.25">
      <c r="A215" s="2"/>
      <c r="B215" s="3"/>
      <c r="C215" s="2"/>
      <c r="D215" s="8"/>
      <c r="G215" s="15"/>
      <c r="H215" s="15"/>
      <c r="I215" s="15"/>
      <c r="J215" s="20"/>
      <c r="K215" s="20"/>
      <c r="L215" s="8"/>
      <c r="M215" s="2"/>
    </row>
    <row r="216" spans="1:13" s="4" customFormat="1" ht="11.25" x14ac:dyDescent="0.25">
      <c r="A216" s="2"/>
      <c r="B216" s="3"/>
      <c r="C216" s="2"/>
      <c r="D216" s="8"/>
      <c r="G216" s="15"/>
      <c r="H216" s="15"/>
      <c r="I216" s="15"/>
      <c r="J216" s="20"/>
      <c r="K216" s="20"/>
      <c r="L216" s="8"/>
      <c r="M216" s="2"/>
    </row>
    <row r="217" spans="1:13" s="4" customFormat="1" ht="11.25" x14ac:dyDescent="0.25">
      <c r="A217" s="2"/>
      <c r="B217" s="3"/>
      <c r="C217" s="2"/>
      <c r="D217" s="8"/>
      <c r="G217" s="15"/>
      <c r="H217" s="15"/>
      <c r="I217" s="15"/>
      <c r="J217" s="20"/>
      <c r="K217" s="20"/>
      <c r="L217" s="8"/>
      <c r="M217" s="2"/>
    </row>
    <row r="218" spans="1:13" s="4" customFormat="1" ht="11.25" x14ac:dyDescent="0.25">
      <c r="A218" s="2"/>
      <c r="B218" s="3"/>
      <c r="C218" s="2"/>
      <c r="D218" s="8"/>
      <c r="G218" s="15"/>
      <c r="H218" s="15"/>
      <c r="I218" s="15"/>
      <c r="J218" s="20"/>
      <c r="K218" s="20"/>
      <c r="L218" s="8"/>
      <c r="M218" s="2"/>
    </row>
    <row r="219" spans="1:13" s="4" customFormat="1" ht="11.25" x14ac:dyDescent="0.25">
      <c r="A219" s="2"/>
      <c r="B219" s="3"/>
      <c r="C219" s="2"/>
      <c r="D219" s="8"/>
      <c r="G219" s="15"/>
      <c r="H219" s="15"/>
      <c r="I219" s="15"/>
      <c r="J219" s="20"/>
      <c r="K219" s="20"/>
      <c r="L219" s="8"/>
      <c r="M219" s="2"/>
    </row>
    <row r="220" spans="1:13" s="4" customFormat="1" ht="11.25" x14ac:dyDescent="0.25">
      <c r="A220" s="2"/>
      <c r="B220" s="3"/>
      <c r="C220" s="2"/>
      <c r="D220" s="8"/>
      <c r="G220" s="15"/>
      <c r="H220" s="15"/>
      <c r="I220" s="15"/>
      <c r="J220" s="20"/>
      <c r="K220" s="20"/>
      <c r="L220" s="8"/>
      <c r="M220" s="2"/>
    </row>
    <row r="221" spans="1:13" s="4" customFormat="1" ht="11.25" x14ac:dyDescent="0.25">
      <c r="A221" s="2"/>
      <c r="B221" s="3"/>
      <c r="C221" s="2"/>
      <c r="D221" s="8"/>
      <c r="G221" s="15"/>
      <c r="H221" s="15"/>
      <c r="I221" s="15"/>
      <c r="J221" s="20"/>
      <c r="K221" s="20"/>
      <c r="L221" s="8"/>
      <c r="M221" s="2"/>
    </row>
    <row r="222" spans="1:13" s="4" customFormat="1" ht="11.25" x14ac:dyDescent="0.25">
      <c r="A222" s="2"/>
      <c r="B222" s="3"/>
      <c r="C222" s="2"/>
      <c r="D222" s="8"/>
      <c r="G222" s="15"/>
      <c r="H222" s="15"/>
      <c r="I222" s="15"/>
      <c r="J222" s="20"/>
      <c r="K222" s="20"/>
      <c r="L222" s="8"/>
      <c r="M222" s="2"/>
    </row>
    <row r="223" spans="1:13" s="4" customFormat="1" ht="11.25" x14ac:dyDescent="0.25">
      <c r="A223" s="2"/>
      <c r="B223" s="3"/>
      <c r="C223" s="2"/>
      <c r="D223" s="8"/>
      <c r="G223" s="15"/>
      <c r="H223" s="15"/>
      <c r="I223" s="15"/>
      <c r="J223" s="20"/>
      <c r="K223" s="20"/>
      <c r="L223" s="8"/>
      <c r="M223" s="2"/>
    </row>
    <row r="224" spans="1:13" s="4" customFormat="1" ht="11.25" x14ac:dyDescent="0.25">
      <c r="A224" s="2"/>
      <c r="B224" s="3"/>
      <c r="C224" s="2"/>
      <c r="D224" s="8"/>
      <c r="G224" s="15"/>
      <c r="H224" s="15"/>
      <c r="I224" s="15"/>
      <c r="J224" s="20"/>
      <c r="K224" s="20"/>
      <c r="L224" s="8"/>
      <c r="M224" s="2"/>
    </row>
    <row r="225" spans="1:13" s="4" customFormat="1" ht="11.25" x14ac:dyDescent="0.25">
      <c r="A225" s="2"/>
      <c r="B225" s="3"/>
      <c r="C225" s="2"/>
      <c r="D225" s="8"/>
      <c r="G225" s="15"/>
      <c r="H225" s="15"/>
      <c r="I225" s="15"/>
      <c r="J225" s="20"/>
      <c r="K225" s="20"/>
      <c r="L225" s="8"/>
      <c r="M225" s="2"/>
    </row>
    <row r="226" spans="1:13" s="4" customFormat="1" ht="11.25" x14ac:dyDescent="0.25">
      <c r="A226" s="2"/>
      <c r="B226" s="3"/>
      <c r="C226" s="2"/>
      <c r="D226" s="8"/>
      <c r="G226" s="15"/>
      <c r="H226" s="15"/>
      <c r="I226" s="15"/>
      <c r="J226" s="20"/>
      <c r="K226" s="20"/>
      <c r="L226" s="8"/>
      <c r="M226" s="2"/>
    </row>
    <row r="227" spans="1:13" s="4" customFormat="1" ht="11.25" x14ac:dyDescent="0.25">
      <c r="A227" s="2"/>
      <c r="B227" s="3"/>
      <c r="C227" s="2"/>
      <c r="D227" s="8"/>
      <c r="G227" s="15"/>
      <c r="H227" s="15"/>
      <c r="I227" s="15"/>
      <c r="J227" s="20"/>
      <c r="K227" s="20"/>
      <c r="L227" s="8"/>
      <c r="M227" s="2"/>
    </row>
    <row r="228" spans="1:13" s="4" customFormat="1" ht="11.25" x14ac:dyDescent="0.25">
      <c r="A228" s="2"/>
      <c r="B228" s="3"/>
      <c r="C228" s="2"/>
      <c r="D228" s="8"/>
      <c r="G228" s="15"/>
      <c r="H228" s="15"/>
      <c r="I228" s="15"/>
      <c r="J228" s="20"/>
      <c r="K228" s="20"/>
      <c r="L228" s="8"/>
      <c r="M228" s="2"/>
    </row>
    <row r="229" spans="1:13" s="4" customFormat="1" ht="11.25" x14ac:dyDescent="0.25">
      <c r="A229" s="2"/>
      <c r="B229" s="3"/>
      <c r="C229" s="2"/>
      <c r="D229" s="8"/>
      <c r="G229" s="15"/>
      <c r="H229" s="15"/>
      <c r="I229" s="15"/>
      <c r="J229" s="20"/>
      <c r="K229" s="20"/>
      <c r="L229" s="8"/>
      <c r="M229" s="2"/>
    </row>
    <row r="230" spans="1:13" s="4" customFormat="1" ht="11.25" x14ac:dyDescent="0.25">
      <c r="A230" s="2"/>
      <c r="B230" s="3"/>
      <c r="C230" s="2"/>
      <c r="D230" s="8"/>
      <c r="G230" s="15"/>
      <c r="H230" s="15"/>
      <c r="I230" s="15"/>
      <c r="J230" s="20"/>
      <c r="K230" s="20"/>
      <c r="L230" s="8"/>
      <c r="M230" s="2"/>
    </row>
    <row r="231" spans="1:13" s="4" customFormat="1" ht="11.25" x14ac:dyDescent="0.25">
      <c r="A231" s="2"/>
      <c r="B231" s="3"/>
      <c r="C231" s="2"/>
      <c r="D231" s="8"/>
      <c r="G231" s="15"/>
      <c r="H231" s="15"/>
      <c r="I231" s="15"/>
      <c r="J231" s="20"/>
      <c r="K231" s="20"/>
      <c r="L231" s="8"/>
      <c r="M231" s="2"/>
    </row>
    <row r="232" spans="1:13" s="4" customFormat="1" ht="11.25" x14ac:dyDescent="0.25">
      <c r="A232" s="2"/>
      <c r="B232" s="3"/>
      <c r="C232" s="2"/>
      <c r="D232" s="8"/>
      <c r="G232" s="15"/>
      <c r="H232" s="15"/>
      <c r="I232" s="15"/>
      <c r="J232" s="20"/>
      <c r="K232" s="20"/>
      <c r="L232" s="8"/>
      <c r="M232" s="2"/>
    </row>
    <row r="233" spans="1:13" s="4" customFormat="1" ht="11.25" x14ac:dyDescent="0.25">
      <c r="A233" s="2"/>
      <c r="B233" s="3"/>
      <c r="C233" s="2"/>
      <c r="D233" s="8"/>
      <c r="G233" s="15"/>
      <c r="H233" s="15"/>
      <c r="I233" s="15"/>
      <c r="J233" s="20"/>
      <c r="K233" s="20"/>
      <c r="L233" s="8"/>
      <c r="M233" s="2"/>
    </row>
    <row r="234" spans="1:13" s="4" customFormat="1" ht="11.25" x14ac:dyDescent="0.25">
      <c r="A234" s="2"/>
      <c r="B234" s="3"/>
      <c r="C234" s="2"/>
      <c r="D234" s="8"/>
      <c r="G234" s="15"/>
      <c r="H234" s="15"/>
      <c r="I234" s="15"/>
      <c r="J234" s="20"/>
      <c r="K234" s="20"/>
      <c r="L234" s="8"/>
      <c r="M234" s="2"/>
    </row>
    <row r="235" spans="1:13" s="4" customFormat="1" ht="11.25" x14ac:dyDescent="0.25">
      <c r="A235" s="2"/>
      <c r="B235" s="3"/>
      <c r="C235" s="2"/>
      <c r="D235" s="8"/>
      <c r="G235" s="15"/>
      <c r="H235" s="15"/>
      <c r="I235" s="15"/>
      <c r="J235" s="20"/>
      <c r="K235" s="20"/>
      <c r="L235" s="8"/>
      <c r="M235" s="2"/>
    </row>
    <row r="236" spans="1:13" s="4" customFormat="1" ht="11.25" x14ac:dyDescent="0.25">
      <c r="A236" s="2"/>
      <c r="B236" s="3"/>
      <c r="C236" s="2"/>
      <c r="D236" s="8"/>
      <c r="G236" s="15"/>
      <c r="H236" s="15"/>
      <c r="I236" s="15"/>
      <c r="J236" s="20"/>
      <c r="K236" s="20"/>
      <c r="L236" s="8"/>
      <c r="M236" s="2"/>
    </row>
    <row r="237" spans="1:13" s="4" customFormat="1" ht="11.25" x14ac:dyDescent="0.25">
      <c r="A237" s="2"/>
      <c r="B237" s="3"/>
      <c r="C237" s="2"/>
      <c r="D237" s="8"/>
      <c r="G237" s="15"/>
      <c r="H237" s="15"/>
      <c r="I237" s="15"/>
      <c r="J237" s="20"/>
      <c r="K237" s="20"/>
      <c r="L237" s="8"/>
      <c r="M237" s="2"/>
    </row>
    <row r="238" spans="1:13" s="4" customFormat="1" ht="11.25" x14ac:dyDescent="0.25">
      <c r="A238" s="2"/>
      <c r="B238" s="3"/>
      <c r="C238" s="2"/>
      <c r="D238" s="8"/>
      <c r="G238" s="15"/>
      <c r="H238" s="15"/>
      <c r="I238" s="15"/>
      <c r="J238" s="20"/>
      <c r="K238" s="20"/>
      <c r="L238" s="8"/>
      <c r="M238" s="2"/>
    </row>
    <row r="239" spans="1:13" s="4" customFormat="1" ht="11.25" x14ac:dyDescent="0.25">
      <c r="A239" s="2"/>
      <c r="B239" s="3"/>
      <c r="C239" s="2"/>
      <c r="D239" s="8"/>
      <c r="G239" s="15"/>
      <c r="H239" s="15"/>
      <c r="I239" s="15"/>
      <c r="J239" s="20"/>
      <c r="K239" s="20"/>
      <c r="L239" s="8"/>
      <c r="M239" s="2"/>
    </row>
    <row r="240" spans="1:13" s="4" customFormat="1" ht="11.25" x14ac:dyDescent="0.25">
      <c r="A240" s="2"/>
      <c r="B240" s="3"/>
      <c r="C240" s="2"/>
      <c r="D240" s="8"/>
      <c r="G240" s="15"/>
      <c r="H240" s="15"/>
      <c r="I240" s="15"/>
      <c r="J240" s="20"/>
      <c r="K240" s="20"/>
      <c r="L240" s="8"/>
      <c r="M240" s="2"/>
    </row>
    <row r="241" spans="1:13" s="4" customFormat="1" ht="11.25" x14ac:dyDescent="0.25">
      <c r="A241" s="2"/>
      <c r="B241" s="3"/>
      <c r="C241" s="2"/>
      <c r="D241" s="8"/>
      <c r="G241" s="15"/>
      <c r="H241" s="15"/>
      <c r="I241" s="15"/>
      <c r="J241" s="20"/>
      <c r="K241" s="20"/>
      <c r="L241" s="8"/>
      <c r="M241" s="2"/>
    </row>
    <row r="242" spans="1:13" s="4" customFormat="1" ht="11.25" x14ac:dyDescent="0.25">
      <c r="A242" s="2"/>
      <c r="B242" s="3"/>
      <c r="C242" s="2"/>
      <c r="D242" s="8"/>
      <c r="G242" s="15"/>
      <c r="H242" s="15"/>
      <c r="I242" s="15"/>
      <c r="J242" s="20"/>
      <c r="K242" s="20"/>
      <c r="L242" s="8"/>
      <c r="M242" s="2"/>
    </row>
    <row r="243" spans="1:13" s="4" customFormat="1" ht="11.25" x14ac:dyDescent="0.25">
      <c r="A243" s="2"/>
      <c r="B243" s="3"/>
      <c r="C243" s="2"/>
      <c r="D243" s="8"/>
      <c r="G243" s="15"/>
      <c r="H243" s="15"/>
      <c r="I243" s="15"/>
      <c r="J243" s="20"/>
      <c r="K243" s="20"/>
      <c r="L243" s="8"/>
      <c r="M243" s="2"/>
    </row>
    <row r="244" spans="1:13" s="4" customFormat="1" ht="11.25" x14ac:dyDescent="0.25">
      <c r="A244" s="2"/>
      <c r="B244" s="3"/>
      <c r="C244" s="2"/>
      <c r="D244" s="8"/>
      <c r="G244" s="15"/>
      <c r="H244" s="15"/>
      <c r="I244" s="15"/>
      <c r="J244" s="20"/>
      <c r="K244" s="20"/>
      <c r="L244" s="8"/>
      <c r="M244" s="2"/>
    </row>
    <row r="245" spans="1:13" s="4" customFormat="1" ht="11.25" x14ac:dyDescent="0.25">
      <c r="A245" s="2"/>
      <c r="B245" s="3"/>
      <c r="C245" s="2"/>
      <c r="D245" s="8"/>
      <c r="G245" s="15"/>
      <c r="H245" s="15"/>
      <c r="I245" s="15"/>
      <c r="J245" s="20"/>
      <c r="K245" s="20"/>
      <c r="L245" s="8"/>
      <c r="M245" s="2"/>
    </row>
    <row r="246" spans="1:13" s="4" customFormat="1" ht="11.25" x14ac:dyDescent="0.25">
      <c r="A246" s="2"/>
      <c r="B246" s="3"/>
      <c r="C246" s="2"/>
      <c r="D246" s="8"/>
      <c r="G246" s="15"/>
      <c r="H246" s="15"/>
      <c r="I246" s="15"/>
      <c r="J246" s="20"/>
      <c r="K246" s="20"/>
      <c r="L246" s="8"/>
      <c r="M246" s="2"/>
    </row>
    <row r="247" spans="1:13" s="4" customFormat="1" ht="11.25" x14ac:dyDescent="0.25">
      <c r="A247" s="2"/>
      <c r="B247" s="3"/>
      <c r="C247" s="2"/>
      <c r="D247" s="8"/>
      <c r="G247" s="15"/>
      <c r="H247" s="15"/>
      <c r="I247" s="15"/>
      <c r="J247" s="20"/>
      <c r="K247" s="20"/>
      <c r="L247" s="8"/>
      <c r="M247" s="2"/>
    </row>
    <row r="248" spans="1:13" s="4" customFormat="1" ht="11.25" x14ac:dyDescent="0.25">
      <c r="A248" s="2"/>
      <c r="B248" s="3"/>
      <c r="C248" s="2"/>
      <c r="D248" s="8"/>
      <c r="G248" s="15"/>
      <c r="H248" s="15"/>
      <c r="I248" s="15"/>
      <c r="J248" s="20"/>
      <c r="K248" s="20"/>
      <c r="L248" s="8"/>
      <c r="M248" s="2"/>
    </row>
    <row r="249" spans="1:13" s="4" customFormat="1" ht="11.25" x14ac:dyDescent="0.25">
      <c r="A249" s="2"/>
      <c r="B249" s="3"/>
      <c r="C249" s="2"/>
      <c r="D249" s="8"/>
      <c r="G249" s="15"/>
      <c r="H249" s="15"/>
      <c r="I249" s="15"/>
      <c r="J249" s="20"/>
      <c r="K249" s="20"/>
      <c r="L249" s="8"/>
      <c r="M249" s="2"/>
    </row>
    <row r="250" spans="1:13" s="4" customFormat="1" ht="11.25" x14ac:dyDescent="0.25">
      <c r="A250" s="2"/>
      <c r="B250" s="3"/>
      <c r="C250" s="2"/>
      <c r="D250" s="8"/>
      <c r="G250" s="15"/>
      <c r="H250" s="15"/>
      <c r="I250" s="15"/>
      <c r="J250" s="20"/>
      <c r="K250" s="20"/>
      <c r="L250" s="8"/>
      <c r="M250" s="2"/>
    </row>
    <row r="251" spans="1:13" s="4" customFormat="1" ht="11.25" x14ac:dyDescent="0.25">
      <c r="A251" s="2"/>
      <c r="B251" s="3"/>
      <c r="C251" s="2"/>
      <c r="D251" s="8"/>
      <c r="G251" s="15"/>
      <c r="H251" s="15"/>
      <c r="I251" s="15"/>
      <c r="J251" s="20"/>
      <c r="K251" s="20"/>
      <c r="L251" s="8"/>
      <c r="M251" s="2"/>
    </row>
    <row r="252" spans="1:13" s="4" customFormat="1" ht="11.25" x14ac:dyDescent="0.25">
      <c r="A252" s="2"/>
      <c r="B252" s="3"/>
      <c r="C252" s="2"/>
      <c r="D252" s="8"/>
      <c r="G252" s="15"/>
      <c r="H252" s="15"/>
      <c r="I252" s="15"/>
      <c r="J252" s="20"/>
      <c r="K252" s="20"/>
      <c r="L252" s="8"/>
      <c r="M252" s="2"/>
    </row>
    <row r="253" spans="1:13" s="4" customFormat="1" ht="11.25" x14ac:dyDescent="0.25">
      <c r="A253" s="2"/>
      <c r="B253" s="3"/>
      <c r="C253" s="2"/>
      <c r="D253" s="8"/>
      <c r="G253" s="15"/>
      <c r="H253" s="15"/>
      <c r="I253" s="15"/>
      <c r="J253" s="20"/>
      <c r="K253" s="20"/>
      <c r="L253" s="8"/>
      <c r="M253" s="2"/>
    </row>
    <row r="254" spans="1:13" s="4" customFormat="1" ht="11.25" x14ac:dyDescent="0.25">
      <c r="A254" s="2"/>
      <c r="B254" s="3"/>
      <c r="C254" s="2"/>
      <c r="D254" s="8"/>
      <c r="G254" s="15"/>
      <c r="H254" s="15"/>
      <c r="I254" s="15"/>
      <c r="J254" s="20"/>
      <c r="K254" s="20"/>
      <c r="L254" s="8"/>
      <c r="M254" s="8"/>
    </row>
    <row r="255" spans="1:13" s="4" customFormat="1" ht="11.25" x14ac:dyDescent="0.25">
      <c r="A255" s="2"/>
      <c r="B255" s="3"/>
      <c r="C255" s="2"/>
      <c r="D255" s="8"/>
      <c r="G255" s="15"/>
      <c r="H255" s="15"/>
      <c r="I255" s="15"/>
      <c r="J255" s="20"/>
      <c r="K255" s="20"/>
      <c r="L255" s="8"/>
      <c r="M255" s="3"/>
    </row>
    <row r="256" spans="1:13" s="4" customFormat="1" ht="11.25" x14ac:dyDescent="0.25">
      <c r="A256" s="2"/>
      <c r="B256" s="3"/>
      <c r="C256" s="2"/>
      <c r="D256" s="8"/>
      <c r="G256" s="15"/>
      <c r="H256" s="15"/>
      <c r="I256" s="15"/>
      <c r="J256" s="20"/>
      <c r="K256" s="20"/>
      <c r="L256" s="8"/>
      <c r="M256" s="2"/>
    </row>
    <row r="257" spans="1:13" s="4" customFormat="1" ht="11.25" x14ac:dyDescent="0.25">
      <c r="G257" s="15"/>
      <c r="H257" s="15"/>
      <c r="I257" s="15"/>
      <c r="J257" s="20"/>
      <c r="K257" s="15"/>
      <c r="M257" s="2"/>
    </row>
    <row r="258" spans="1:13" s="4" customFormat="1" ht="11.25" x14ac:dyDescent="0.25">
      <c r="A258" s="2"/>
      <c r="B258" s="3"/>
      <c r="C258" s="2"/>
      <c r="D258" s="8"/>
      <c r="G258" s="15"/>
      <c r="H258" s="15"/>
      <c r="I258" s="15"/>
      <c r="J258" s="20"/>
      <c r="K258" s="20"/>
      <c r="L258" s="8"/>
      <c r="M258" s="2"/>
    </row>
    <row r="259" spans="1:13" s="4" customFormat="1" ht="11.25" x14ac:dyDescent="0.25">
      <c r="A259" s="2"/>
      <c r="B259" s="3"/>
      <c r="C259" s="2"/>
      <c r="D259" s="8"/>
      <c r="G259" s="15"/>
      <c r="H259" s="15"/>
      <c r="I259" s="15"/>
      <c r="J259" s="20"/>
      <c r="K259" s="20"/>
      <c r="L259" s="8"/>
      <c r="M259" s="2"/>
    </row>
    <row r="260" spans="1:13" s="4" customFormat="1" ht="11.25" x14ac:dyDescent="0.25">
      <c r="A260" s="2"/>
      <c r="B260" s="3"/>
      <c r="C260" s="2"/>
      <c r="D260" s="8"/>
      <c r="G260" s="15"/>
      <c r="H260" s="15"/>
      <c r="I260" s="15"/>
      <c r="J260" s="20"/>
      <c r="K260" s="20"/>
      <c r="L260" s="8"/>
      <c r="M260" s="8"/>
    </row>
    <row r="261" spans="1:13" s="4" customFormat="1" ht="11.25" x14ac:dyDescent="0.25">
      <c r="A261" s="2"/>
      <c r="B261" s="3"/>
      <c r="C261" s="2"/>
      <c r="D261" s="8"/>
      <c r="G261" s="15"/>
      <c r="H261" s="15"/>
      <c r="I261" s="15"/>
      <c r="J261" s="20"/>
      <c r="K261" s="20"/>
      <c r="L261" s="8"/>
      <c r="M261" s="2"/>
    </row>
    <row r="262" spans="1:13" s="4" customFormat="1" ht="11.25" x14ac:dyDescent="0.25">
      <c r="A262" s="2"/>
      <c r="B262" s="3"/>
      <c r="C262" s="2"/>
      <c r="D262" s="8"/>
      <c r="G262" s="15"/>
      <c r="H262" s="15"/>
      <c r="I262" s="15"/>
      <c r="J262" s="20"/>
      <c r="K262" s="20"/>
      <c r="L262" s="8"/>
      <c r="M262" s="2"/>
    </row>
    <row r="263" spans="1:13" s="4" customFormat="1" ht="11.25" x14ac:dyDescent="0.25">
      <c r="A263" s="2"/>
      <c r="B263" s="3"/>
      <c r="C263" s="2"/>
      <c r="D263" s="8"/>
      <c r="G263" s="15"/>
      <c r="H263" s="15"/>
      <c r="I263" s="15"/>
      <c r="J263" s="20"/>
      <c r="K263" s="20"/>
      <c r="L263" s="8"/>
      <c r="M263" s="2"/>
    </row>
    <row r="264" spans="1:13" s="4" customFormat="1" ht="11.25" x14ac:dyDescent="0.25">
      <c r="A264" s="2"/>
      <c r="B264" s="3"/>
      <c r="C264" s="2"/>
      <c r="D264" s="8"/>
      <c r="G264" s="15"/>
      <c r="H264" s="15"/>
      <c r="I264" s="15"/>
      <c r="J264" s="20"/>
      <c r="K264" s="20"/>
      <c r="L264" s="8"/>
      <c r="M264" s="2"/>
    </row>
    <row r="265" spans="1:13" s="4" customFormat="1" ht="11.25" x14ac:dyDescent="0.25">
      <c r="A265" s="2"/>
      <c r="B265" s="3"/>
      <c r="C265" s="2"/>
      <c r="D265" s="8"/>
      <c r="G265" s="15"/>
      <c r="H265" s="15"/>
      <c r="I265" s="15"/>
      <c r="J265" s="20"/>
      <c r="K265" s="20"/>
      <c r="L265" s="8"/>
      <c r="M265" s="2"/>
    </row>
    <row r="266" spans="1:13" s="4" customFormat="1" ht="11.25" x14ac:dyDescent="0.25">
      <c r="A266" s="2"/>
      <c r="B266" s="3"/>
      <c r="C266" s="2"/>
      <c r="D266" s="8"/>
      <c r="G266" s="15"/>
      <c r="H266" s="15"/>
      <c r="I266" s="15"/>
      <c r="J266" s="20"/>
      <c r="K266" s="20"/>
      <c r="L266" s="8"/>
      <c r="M266" s="2"/>
    </row>
    <row r="267" spans="1:13" s="4" customFormat="1" ht="11.25" x14ac:dyDescent="0.25">
      <c r="A267" s="2"/>
      <c r="B267" s="3"/>
      <c r="C267" s="2"/>
      <c r="D267" s="8"/>
      <c r="G267" s="15"/>
      <c r="H267" s="15"/>
      <c r="I267" s="15"/>
      <c r="J267" s="20"/>
      <c r="K267" s="20"/>
      <c r="L267" s="8"/>
      <c r="M267" s="2"/>
    </row>
    <row r="268" spans="1:13" s="4" customFormat="1" ht="11.25" x14ac:dyDescent="0.25">
      <c r="A268" s="2"/>
      <c r="B268" s="3"/>
      <c r="C268" s="2"/>
      <c r="D268" s="8"/>
      <c r="G268" s="15"/>
      <c r="H268" s="15"/>
      <c r="I268" s="15"/>
      <c r="J268" s="20"/>
      <c r="K268" s="20"/>
      <c r="L268" s="8"/>
      <c r="M268" s="2"/>
    </row>
    <row r="269" spans="1:13" s="4" customFormat="1" ht="11.25" x14ac:dyDescent="0.25">
      <c r="A269" s="2"/>
      <c r="B269" s="3"/>
      <c r="C269" s="2"/>
      <c r="D269" s="8"/>
      <c r="G269" s="15"/>
      <c r="H269" s="15"/>
      <c r="I269" s="15"/>
      <c r="J269" s="20"/>
      <c r="K269" s="20"/>
      <c r="L269" s="8"/>
      <c r="M269" s="8"/>
    </row>
    <row r="270" spans="1:13" s="4" customFormat="1" ht="11.25" x14ac:dyDescent="0.25">
      <c r="A270" s="2"/>
      <c r="B270" s="3"/>
      <c r="C270" s="2"/>
      <c r="D270" s="8"/>
      <c r="G270" s="15"/>
      <c r="H270" s="15"/>
      <c r="I270" s="15"/>
      <c r="J270" s="20"/>
      <c r="K270" s="20"/>
      <c r="L270" s="8"/>
      <c r="M270" s="2"/>
    </row>
    <row r="271" spans="1:13" s="4" customFormat="1" ht="11.25" x14ac:dyDescent="0.25">
      <c r="A271" s="2"/>
      <c r="B271" s="3"/>
      <c r="C271" s="2"/>
      <c r="D271" s="8"/>
      <c r="G271" s="15"/>
      <c r="H271" s="15"/>
      <c r="I271" s="15"/>
      <c r="J271" s="20"/>
      <c r="K271" s="20"/>
      <c r="L271" s="8"/>
      <c r="M271" s="2"/>
    </row>
    <row r="272" spans="1:13" s="4" customFormat="1" ht="11.25" x14ac:dyDescent="0.25">
      <c r="A272" s="2"/>
      <c r="B272" s="3"/>
      <c r="C272" s="2"/>
      <c r="D272" s="8"/>
      <c r="G272" s="15"/>
      <c r="H272" s="15"/>
      <c r="I272" s="15"/>
      <c r="J272" s="20"/>
      <c r="K272" s="20"/>
      <c r="L272" s="8"/>
      <c r="M272" s="2"/>
    </row>
    <row r="273" spans="1:13" s="4" customFormat="1" ht="11.25" x14ac:dyDescent="0.25">
      <c r="A273" s="2"/>
      <c r="B273" s="3"/>
      <c r="C273" s="2"/>
      <c r="D273" s="8"/>
      <c r="G273" s="15"/>
      <c r="H273" s="15"/>
      <c r="I273" s="15"/>
      <c r="J273" s="20"/>
      <c r="K273" s="20"/>
      <c r="L273" s="8"/>
      <c r="M273" s="2"/>
    </row>
    <row r="274" spans="1:13" s="4" customFormat="1" ht="11.25" x14ac:dyDescent="0.25">
      <c r="A274" s="2"/>
      <c r="B274" s="3"/>
      <c r="C274" s="2"/>
      <c r="D274" s="8"/>
      <c r="G274" s="15"/>
      <c r="H274" s="15"/>
      <c r="I274" s="15"/>
      <c r="J274" s="20"/>
      <c r="K274" s="20"/>
      <c r="L274" s="8"/>
      <c r="M274" s="2"/>
    </row>
    <row r="275" spans="1:13" s="4" customFormat="1" ht="11.25" x14ac:dyDescent="0.25">
      <c r="A275" s="2"/>
      <c r="B275" s="3"/>
      <c r="C275" s="2"/>
      <c r="D275" s="8"/>
      <c r="G275" s="15"/>
      <c r="H275" s="15"/>
      <c r="I275" s="15"/>
      <c r="J275" s="20"/>
      <c r="K275" s="20"/>
      <c r="L275" s="8"/>
      <c r="M275" s="2"/>
    </row>
    <row r="276" spans="1:13" s="4" customFormat="1" ht="11.25" x14ac:dyDescent="0.25">
      <c r="A276" s="2"/>
      <c r="B276" s="3"/>
      <c r="C276" s="2"/>
      <c r="D276" s="8"/>
      <c r="G276" s="15"/>
      <c r="H276" s="15"/>
      <c r="I276" s="15"/>
      <c r="J276" s="20"/>
      <c r="K276" s="20"/>
      <c r="L276" s="8"/>
      <c r="M276" s="2"/>
    </row>
    <row r="277" spans="1:13" s="4" customFormat="1" ht="11.25" x14ac:dyDescent="0.25">
      <c r="A277" s="2"/>
      <c r="B277" s="3"/>
      <c r="C277" s="2"/>
      <c r="D277" s="8"/>
      <c r="G277" s="15"/>
      <c r="H277" s="15"/>
      <c r="I277" s="15"/>
      <c r="J277" s="20"/>
      <c r="K277" s="20"/>
      <c r="L277" s="8"/>
      <c r="M277" s="2"/>
    </row>
    <row r="278" spans="1:13" s="4" customFormat="1" ht="11.25" x14ac:dyDescent="0.25">
      <c r="A278" s="2"/>
      <c r="B278" s="3"/>
      <c r="C278" s="2"/>
      <c r="D278" s="8"/>
      <c r="G278" s="15"/>
      <c r="H278" s="15"/>
      <c r="I278" s="15"/>
      <c r="J278" s="20"/>
      <c r="K278" s="20"/>
      <c r="L278" s="8"/>
      <c r="M278" s="2"/>
    </row>
    <row r="279" spans="1:13" s="4" customFormat="1" ht="11.25" x14ac:dyDescent="0.25">
      <c r="A279" s="2"/>
      <c r="B279" s="3"/>
      <c r="C279" s="2"/>
      <c r="D279" s="8"/>
      <c r="G279" s="15"/>
      <c r="H279" s="15"/>
      <c r="I279" s="15"/>
      <c r="J279" s="20"/>
      <c r="K279" s="20"/>
      <c r="L279" s="8"/>
      <c r="M279" s="2"/>
    </row>
    <row r="280" spans="1:13" s="15" customFormat="1" ht="11.25" x14ac:dyDescent="0.25">
      <c r="A280" s="10"/>
      <c r="B280" s="10"/>
      <c r="C280" s="2"/>
      <c r="D280" s="8"/>
      <c r="E280" s="8"/>
      <c r="F280" s="10"/>
      <c r="G280" s="52"/>
      <c r="H280" s="10"/>
      <c r="I280" s="10"/>
      <c r="J280" s="52"/>
      <c r="K280" s="52"/>
      <c r="L280" s="8"/>
      <c r="M280" s="8"/>
    </row>
    <row r="281" spans="1:13" s="15" customFormat="1" ht="11.25" x14ac:dyDescent="0.25">
      <c r="A281" s="10"/>
      <c r="B281" s="10"/>
      <c r="C281" s="2"/>
      <c r="D281" s="8"/>
      <c r="E281" s="8"/>
      <c r="F281" s="10"/>
      <c r="G281" s="52"/>
      <c r="H281" s="52"/>
      <c r="I281" s="10"/>
      <c r="J281" s="52"/>
      <c r="K281" s="52"/>
      <c r="L281" s="8"/>
      <c r="M281" s="8"/>
    </row>
    <row r="282" spans="1:13" s="10" customFormat="1" ht="11.25" x14ac:dyDescent="0.25">
      <c r="A282" s="8"/>
      <c r="B282" s="8"/>
      <c r="C282" s="8"/>
      <c r="D282" s="8"/>
      <c r="E282" s="8"/>
      <c r="F282" s="8"/>
      <c r="G282" s="17"/>
      <c r="H282" s="8"/>
      <c r="I282" s="8"/>
      <c r="J282" s="17"/>
      <c r="K282" s="52"/>
      <c r="L282" s="8"/>
      <c r="M282" s="8"/>
    </row>
    <row r="283" spans="1:13" s="10" customFormat="1" ht="11.25" x14ac:dyDescent="0.25">
      <c r="A283" s="8"/>
      <c r="B283" s="8"/>
      <c r="C283" s="8"/>
      <c r="D283" s="8"/>
      <c r="E283" s="8"/>
      <c r="F283" s="8"/>
      <c r="G283" s="17"/>
      <c r="H283" s="8"/>
      <c r="I283" s="8"/>
      <c r="J283" s="17"/>
      <c r="K283" s="52"/>
      <c r="L283" s="8"/>
      <c r="M283" s="48"/>
    </row>
  </sheetData>
  <printOptions gridLines="1"/>
  <pageMargins left="0.7" right="0.7" top="0.75" bottom="0.75" header="0.3" footer="0.3"/>
  <pageSetup paperSize="9"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W17"/>
  <sheetViews>
    <sheetView view="pageBreakPreview" zoomScaleNormal="100" zoomScaleSheetLayoutView="100" workbookViewId="0"/>
  </sheetViews>
  <sheetFormatPr defaultColWidth="9.140625" defaultRowHeight="15" x14ac:dyDescent="0.25"/>
  <cols>
    <col min="1" max="1" width="5.7109375" customWidth="1"/>
    <col min="2" max="2" width="7.140625" customWidth="1"/>
    <col min="3" max="3" width="6.140625" customWidth="1"/>
    <col min="4" max="4" width="22.85546875" customWidth="1"/>
    <col min="5" max="5" width="8.7109375" customWidth="1"/>
    <col min="6" max="6" width="13.28515625" customWidth="1"/>
    <col min="7" max="7" width="6.28515625" customWidth="1"/>
    <col min="8" max="8" width="6.85546875" customWidth="1"/>
    <col min="9" max="9" width="7.85546875" customWidth="1"/>
    <col min="10" max="10" width="8.28515625" customWidth="1"/>
    <col min="11" max="11" width="7.28515625" customWidth="1"/>
    <col min="12" max="12" width="27.28515625" customWidth="1"/>
    <col min="13" max="13" width="25.42578125" style="16" customWidth="1"/>
    <col min="14" max="14" width="17.42578125" customWidth="1"/>
    <col min="15" max="22" width="8.7109375" customWidth="1"/>
  </cols>
  <sheetData>
    <row r="1" spans="1:23" x14ac:dyDescent="0.25">
      <c r="A1" s="28" t="s">
        <v>1187</v>
      </c>
      <c r="B1" s="14"/>
      <c r="C1" s="10"/>
      <c r="D1" s="10"/>
      <c r="E1" s="10"/>
      <c r="F1" s="10"/>
      <c r="G1" s="10"/>
      <c r="H1" s="10"/>
      <c r="I1" s="10"/>
      <c r="J1" s="10"/>
      <c r="K1" s="10"/>
      <c r="L1" s="8"/>
      <c r="M1" s="8"/>
    </row>
    <row r="2" spans="1:23" x14ac:dyDescent="0.25">
      <c r="A2" s="11" t="s">
        <v>781</v>
      </c>
      <c r="B2" s="11"/>
      <c r="C2" s="6"/>
      <c r="D2" s="1"/>
      <c r="E2" s="1"/>
      <c r="F2" s="1"/>
      <c r="G2" s="1"/>
      <c r="H2" s="1"/>
      <c r="I2" s="1"/>
      <c r="J2" s="1"/>
      <c r="K2" s="1"/>
      <c r="L2" s="1"/>
      <c r="M2" s="21"/>
    </row>
    <row r="3" spans="1:23" x14ac:dyDescent="0.25">
      <c r="A3" s="11" t="s">
        <v>794</v>
      </c>
      <c r="B3" s="11"/>
      <c r="C3" s="1"/>
      <c r="D3" s="1"/>
      <c r="E3" s="1"/>
      <c r="F3" s="1"/>
      <c r="G3" s="1"/>
      <c r="H3" s="1"/>
      <c r="I3" s="1"/>
      <c r="J3" s="22"/>
      <c r="K3" s="1"/>
      <c r="L3" s="1"/>
      <c r="M3" s="1"/>
    </row>
    <row r="4" spans="1:23" ht="22.5" x14ac:dyDescent="0.25">
      <c r="A4" s="5" t="s">
        <v>0</v>
      </c>
      <c r="B4" s="5" t="s">
        <v>1</v>
      </c>
      <c r="C4" s="5" t="s">
        <v>2</v>
      </c>
      <c r="D4" s="5" t="s">
        <v>4</v>
      </c>
      <c r="E4" s="5" t="s">
        <v>5</v>
      </c>
      <c r="F4" s="5" t="s">
        <v>6</v>
      </c>
      <c r="G4" s="19" t="s">
        <v>7</v>
      </c>
      <c r="H4" s="19" t="s">
        <v>8</v>
      </c>
      <c r="I4" s="5" t="s">
        <v>9</v>
      </c>
      <c r="J4" s="6" t="s">
        <v>10</v>
      </c>
      <c r="K4" s="19" t="s">
        <v>46</v>
      </c>
      <c r="L4" s="19" t="s">
        <v>12</v>
      </c>
      <c r="M4" s="5" t="s">
        <v>13</v>
      </c>
    </row>
    <row r="6" spans="1:23" ht="23.25" x14ac:dyDescent="0.25">
      <c r="A6" s="12" t="s">
        <v>782</v>
      </c>
      <c r="B6" s="12">
        <v>2.1</v>
      </c>
      <c r="C6" s="12" t="s">
        <v>66</v>
      </c>
      <c r="D6" s="8" t="s">
        <v>958</v>
      </c>
      <c r="E6" s="33" t="s">
        <v>964</v>
      </c>
      <c r="F6" s="32" t="s">
        <v>28</v>
      </c>
      <c r="G6" s="34">
        <v>18.5</v>
      </c>
      <c r="H6" s="32">
        <v>10</v>
      </c>
      <c r="I6" s="32">
        <v>1</v>
      </c>
      <c r="J6" s="31">
        <f>10/3</f>
        <v>3.3333333333333335</v>
      </c>
      <c r="K6" s="31">
        <f>G6*I6/J6</f>
        <v>5.55</v>
      </c>
      <c r="L6" s="33" t="s">
        <v>959</v>
      </c>
      <c r="M6" s="32" t="s">
        <v>960</v>
      </c>
    </row>
    <row r="7" spans="1:23" ht="23.25" x14ac:dyDescent="0.25">
      <c r="A7" s="12" t="s">
        <v>782</v>
      </c>
      <c r="B7" s="12">
        <v>2.1</v>
      </c>
      <c r="C7" s="12" t="s">
        <v>66</v>
      </c>
      <c r="D7" s="8" t="s">
        <v>961</v>
      </c>
      <c r="E7" s="8"/>
      <c r="F7" s="32" t="s">
        <v>28</v>
      </c>
      <c r="G7" s="34">
        <v>8</v>
      </c>
      <c r="H7" s="32">
        <v>1</v>
      </c>
      <c r="I7" s="32">
        <v>1</v>
      </c>
      <c r="J7" s="31">
        <v>1</v>
      </c>
      <c r="K7" s="31">
        <f>G7*I7/J7</f>
        <v>8</v>
      </c>
      <c r="L7" s="33" t="s">
        <v>962</v>
      </c>
      <c r="M7" s="33" t="s">
        <v>963</v>
      </c>
    </row>
    <row r="8" spans="1:23" x14ac:dyDescent="0.25">
      <c r="A8" s="1"/>
      <c r="B8" s="1"/>
      <c r="C8" s="1"/>
      <c r="D8" s="1"/>
      <c r="E8" s="1"/>
      <c r="F8" s="1"/>
      <c r="G8" s="1"/>
      <c r="H8" s="1"/>
      <c r="I8" s="1"/>
      <c r="J8" s="9"/>
      <c r="K8" s="1"/>
      <c r="L8" s="9"/>
      <c r="M8" s="1"/>
    </row>
    <row r="9" spans="1:23" ht="17.45" customHeight="1" x14ac:dyDescent="0.25">
      <c r="A9" s="12"/>
      <c r="B9" s="12"/>
      <c r="C9" s="12"/>
      <c r="D9" s="20" t="s">
        <v>805</v>
      </c>
      <c r="E9" s="17">
        <f>K6+K7</f>
        <v>13.55</v>
      </c>
      <c r="F9" s="23"/>
      <c r="G9" s="24"/>
      <c r="H9" s="23"/>
      <c r="I9" s="23"/>
      <c r="J9" s="23"/>
      <c r="K9" s="24"/>
      <c r="L9" s="8"/>
      <c r="M9" s="3"/>
      <c r="N9" s="2"/>
    </row>
    <row r="10" spans="1:23" x14ac:dyDescent="0.25">
      <c r="A10" s="12"/>
      <c r="B10" s="12"/>
      <c r="C10" s="12"/>
      <c r="D10" s="20" t="s">
        <v>806</v>
      </c>
      <c r="E10" s="13"/>
      <c r="F10" s="12"/>
      <c r="G10" s="12"/>
      <c r="H10" s="12"/>
      <c r="I10" s="12"/>
      <c r="J10" s="13"/>
      <c r="K10" s="24"/>
      <c r="L10" s="12"/>
      <c r="M10" s="12"/>
    </row>
    <row r="11" spans="1:23" x14ac:dyDescent="0.25">
      <c r="A11" s="6"/>
      <c r="B11" s="6"/>
      <c r="C11" s="6"/>
      <c r="D11" s="6"/>
      <c r="E11" s="1"/>
      <c r="F11" s="1"/>
      <c r="G11" s="1"/>
      <c r="H11" s="1"/>
      <c r="I11" s="1"/>
      <c r="J11" s="9"/>
      <c r="K11" s="1"/>
      <c r="L11" s="9"/>
      <c r="M11" s="1"/>
    </row>
    <row r="12" spans="1:23" s="4" customFormat="1" ht="69.95" customHeight="1" x14ac:dyDescent="0.25">
      <c r="A12" s="2"/>
      <c r="B12" s="3"/>
      <c r="C12" s="2"/>
      <c r="D12" s="8"/>
      <c r="G12" s="15"/>
      <c r="H12" s="15"/>
      <c r="I12" s="15"/>
      <c r="J12" s="15"/>
      <c r="K12" s="20"/>
      <c r="L12" s="8"/>
      <c r="M12" s="3"/>
      <c r="N12" s="2"/>
      <c r="O12"/>
      <c r="P12"/>
      <c r="Q12"/>
      <c r="R12"/>
      <c r="S12"/>
      <c r="T12"/>
      <c r="U12"/>
      <c r="V12"/>
      <c r="W12"/>
    </row>
    <row r="13" spans="1:23" x14ac:dyDescent="0.25">
      <c r="A13" s="12"/>
      <c r="B13" s="12"/>
      <c r="C13" s="2"/>
      <c r="D13" s="12"/>
      <c r="E13" s="12"/>
      <c r="F13" s="12"/>
      <c r="G13" s="12"/>
      <c r="H13" s="12"/>
      <c r="I13" s="12"/>
      <c r="J13" s="13"/>
      <c r="K13" s="24"/>
      <c r="L13" s="12"/>
      <c r="M13" s="12"/>
    </row>
    <row r="14" spans="1:23" x14ac:dyDescent="0.25">
      <c r="A14" s="6"/>
      <c r="B14" s="6"/>
      <c r="C14" s="1"/>
      <c r="D14" s="6"/>
      <c r="E14" s="7"/>
      <c r="F14" s="1"/>
      <c r="G14" s="1"/>
      <c r="H14" s="1"/>
      <c r="I14" s="9"/>
      <c r="J14" s="1"/>
      <c r="K14" s="1"/>
      <c r="L14" s="9"/>
      <c r="M14" s="1"/>
    </row>
    <row r="15" spans="1:23" x14ac:dyDescent="0.25">
      <c r="A15" s="6"/>
      <c r="B15" s="6"/>
      <c r="C15" s="1"/>
      <c r="D15" s="6"/>
      <c r="E15" s="7"/>
      <c r="F15" s="1"/>
      <c r="G15" s="1"/>
      <c r="H15" s="1"/>
      <c r="I15" s="9"/>
      <c r="J15" s="1"/>
      <c r="K15" s="1"/>
      <c r="L15" s="9"/>
      <c r="M15" s="1"/>
    </row>
    <row r="16" spans="1:23" x14ac:dyDescent="0.25">
      <c r="A16" s="6"/>
      <c r="B16" s="6"/>
      <c r="C16" s="1"/>
      <c r="D16" s="6"/>
      <c r="E16" s="6"/>
      <c r="F16" s="1"/>
      <c r="G16" s="1"/>
      <c r="H16" s="1"/>
      <c r="I16" s="1"/>
      <c r="J16" s="1"/>
      <c r="K16" s="1"/>
      <c r="L16" s="9"/>
      <c r="M16" s="1"/>
    </row>
    <row r="17" spans="1:13" x14ac:dyDescent="0.25">
      <c r="A17" s="6"/>
      <c r="B17" s="6"/>
      <c r="C17" s="1"/>
      <c r="D17" s="6"/>
      <c r="E17" s="7"/>
      <c r="F17" s="1"/>
      <c r="G17" s="1"/>
      <c r="H17" s="1"/>
      <c r="I17" s="1"/>
      <c r="J17" s="1"/>
      <c r="K17" s="1"/>
      <c r="L17" s="9"/>
      <c r="M17" s="1"/>
    </row>
  </sheetData>
  <printOptions gridLines="1"/>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X37"/>
  <sheetViews>
    <sheetView view="pageBreakPreview" zoomScale="115" zoomScaleNormal="115" zoomScaleSheetLayoutView="115" workbookViewId="0"/>
  </sheetViews>
  <sheetFormatPr defaultColWidth="9.140625" defaultRowHeight="15" x14ac:dyDescent="0.25"/>
  <cols>
    <col min="1" max="1" width="5.7109375" style="1" customWidth="1"/>
    <col min="2" max="2" width="7" style="1" customWidth="1"/>
    <col min="3" max="3" width="6.42578125" style="1" customWidth="1"/>
    <col min="4" max="4" width="11" style="1" customWidth="1"/>
    <col min="5" max="5" width="18.42578125" style="1" customWidth="1"/>
    <col min="6" max="6" width="10.28515625" style="1" customWidth="1"/>
    <col min="7" max="7" width="6.7109375" style="1" customWidth="1"/>
    <col min="8" max="8" width="5.85546875" style="1" customWidth="1"/>
    <col min="9" max="9" width="7.28515625" style="1" customWidth="1"/>
    <col min="10" max="10" width="7" style="1" customWidth="1"/>
    <col min="11" max="11" width="6.42578125" style="1" customWidth="1"/>
    <col min="12" max="13" width="32.85546875" style="1" customWidth="1"/>
    <col min="14" max="14" width="34.42578125" style="1" customWidth="1"/>
    <col min="23" max="16384" width="9.140625" style="1"/>
  </cols>
  <sheetData>
    <row r="1" spans="1:24" s="54" customFormat="1" x14ac:dyDescent="0.25">
      <c r="A1" s="28" t="s">
        <v>1187</v>
      </c>
      <c r="B1" s="11"/>
      <c r="E1" s="1"/>
      <c r="O1"/>
      <c r="P1"/>
      <c r="Q1"/>
      <c r="R1"/>
      <c r="S1"/>
      <c r="T1"/>
      <c r="U1"/>
      <c r="V1"/>
      <c r="W1"/>
      <c r="X1"/>
    </row>
    <row r="2" spans="1:24" s="54" customFormat="1" x14ac:dyDescent="0.25">
      <c r="A2" s="11" t="s">
        <v>45</v>
      </c>
      <c r="B2" s="11"/>
      <c r="E2" s="1"/>
      <c r="O2"/>
      <c r="P2"/>
      <c r="Q2"/>
      <c r="R2"/>
      <c r="S2"/>
      <c r="T2"/>
      <c r="U2"/>
      <c r="V2"/>
      <c r="W2"/>
      <c r="X2"/>
    </row>
    <row r="3" spans="1:24" s="54" customFormat="1" x14ac:dyDescent="0.25">
      <c r="A3" s="11" t="s">
        <v>794</v>
      </c>
      <c r="B3" s="11"/>
      <c r="E3" s="1"/>
      <c r="O3"/>
      <c r="P3"/>
      <c r="Q3"/>
      <c r="R3"/>
      <c r="S3"/>
      <c r="T3"/>
      <c r="U3"/>
      <c r="V3"/>
      <c r="W3"/>
      <c r="X3"/>
    </row>
    <row r="4" spans="1:24" s="55" customFormat="1" ht="45" x14ac:dyDescent="0.25">
      <c r="A4" s="55" t="s">
        <v>0</v>
      </c>
      <c r="B4" s="55" t="s">
        <v>1</v>
      </c>
      <c r="C4" s="55" t="s">
        <v>2</v>
      </c>
      <c r="D4" s="55" t="s">
        <v>3</v>
      </c>
      <c r="E4" s="55" t="s">
        <v>4</v>
      </c>
      <c r="F4" s="55" t="s">
        <v>6</v>
      </c>
      <c r="G4" s="56" t="s">
        <v>7</v>
      </c>
      <c r="H4" s="56" t="s">
        <v>8</v>
      </c>
      <c r="I4" s="55" t="s">
        <v>9</v>
      </c>
      <c r="J4" s="55" t="s">
        <v>10</v>
      </c>
      <c r="K4" s="56" t="s">
        <v>46</v>
      </c>
      <c r="L4" s="56" t="s">
        <v>47</v>
      </c>
      <c r="M4" s="56" t="s">
        <v>13</v>
      </c>
      <c r="N4" s="57"/>
      <c r="O4"/>
      <c r="P4"/>
      <c r="Q4"/>
      <c r="R4"/>
      <c r="S4"/>
      <c r="T4"/>
      <c r="U4"/>
      <c r="V4"/>
      <c r="W4"/>
      <c r="X4"/>
    </row>
    <row r="5" spans="1:24" s="63" customFormat="1" x14ac:dyDescent="0.25">
      <c r="A5" s="12" t="s">
        <v>48</v>
      </c>
      <c r="B5" s="12">
        <v>3.1</v>
      </c>
      <c r="C5" s="1" t="s">
        <v>66</v>
      </c>
      <c r="D5" s="12"/>
      <c r="E5" s="12" t="s">
        <v>837</v>
      </c>
      <c r="F5" s="13"/>
      <c r="G5" s="58">
        <v>1500</v>
      </c>
      <c r="H5" s="59"/>
      <c r="I5" s="59">
        <v>1</v>
      </c>
      <c r="J5" s="60">
        <f>365/7</f>
        <v>52.142857142857146</v>
      </c>
      <c r="K5" s="58">
        <f>G5*I5/J5</f>
        <v>28.767123287671232</v>
      </c>
      <c r="L5" s="12"/>
      <c r="M5" s="61" t="s">
        <v>838</v>
      </c>
      <c r="N5" s="62"/>
      <c r="O5"/>
      <c r="P5"/>
      <c r="Q5"/>
      <c r="R5"/>
      <c r="S5"/>
      <c r="T5"/>
      <c r="U5"/>
      <c r="V5"/>
      <c r="W5"/>
      <c r="X5"/>
    </row>
    <row r="6" spans="1:24" s="64" customFormat="1" x14ac:dyDescent="0.25">
      <c r="A6" s="1"/>
      <c r="B6" s="1"/>
      <c r="C6" s="1"/>
      <c r="D6" s="12"/>
      <c r="E6" s="12"/>
      <c r="F6" s="13"/>
      <c r="G6" s="13"/>
      <c r="H6" s="12"/>
      <c r="I6" s="12"/>
      <c r="J6" s="13"/>
      <c r="K6" s="13"/>
      <c r="L6" s="12"/>
      <c r="M6" s="12"/>
      <c r="N6" s="12"/>
      <c r="O6"/>
      <c r="P6"/>
      <c r="Q6"/>
      <c r="R6"/>
      <c r="S6"/>
      <c r="T6"/>
      <c r="U6"/>
      <c r="V6"/>
    </row>
    <row r="7" spans="1:24" s="64" customFormat="1" x14ac:dyDescent="0.25">
      <c r="A7" s="1"/>
      <c r="B7" s="1"/>
      <c r="C7" s="1"/>
      <c r="D7" s="12"/>
      <c r="E7" s="15" t="s">
        <v>807</v>
      </c>
      <c r="F7" s="13">
        <f>SUM(K5:K5)</f>
        <v>28.767123287671232</v>
      </c>
      <c r="G7" s="13"/>
      <c r="H7" s="12"/>
      <c r="I7" s="12"/>
      <c r="J7" s="13"/>
      <c r="K7" s="13"/>
      <c r="L7" s="12"/>
      <c r="M7" s="12"/>
      <c r="N7" s="12"/>
      <c r="O7"/>
      <c r="P7"/>
      <c r="Q7"/>
      <c r="R7"/>
      <c r="S7"/>
      <c r="T7"/>
      <c r="U7"/>
      <c r="V7"/>
    </row>
    <row r="8" spans="1:24" s="64" customFormat="1" x14ac:dyDescent="0.25">
      <c r="A8" s="1"/>
      <c r="B8" s="1"/>
      <c r="C8" s="1"/>
      <c r="D8" s="1"/>
      <c r="E8" s="1"/>
      <c r="F8" s="1"/>
      <c r="G8" s="1"/>
      <c r="H8" s="1"/>
      <c r="I8" s="1"/>
      <c r="J8" s="1"/>
      <c r="K8" s="1"/>
      <c r="L8" s="1"/>
      <c r="M8" s="1"/>
      <c r="N8" s="12"/>
      <c r="O8"/>
      <c r="P8"/>
      <c r="Q8"/>
      <c r="R8"/>
      <c r="S8"/>
      <c r="T8"/>
      <c r="U8"/>
      <c r="V8"/>
    </row>
    <row r="9" spans="1:24" s="64" customFormat="1" x14ac:dyDescent="0.25">
      <c r="A9" s="1"/>
      <c r="B9" s="1"/>
      <c r="C9" s="1"/>
      <c r="D9" s="1"/>
      <c r="E9" s="1"/>
      <c r="F9" s="1"/>
      <c r="G9" s="1"/>
      <c r="H9" s="1"/>
      <c r="I9" s="1"/>
      <c r="J9" s="1"/>
      <c r="K9" s="1"/>
      <c r="L9" s="1"/>
      <c r="M9" s="1"/>
      <c r="N9" s="12"/>
      <c r="O9"/>
      <c r="P9"/>
      <c r="Q9"/>
      <c r="R9"/>
      <c r="S9"/>
      <c r="T9"/>
      <c r="U9"/>
      <c r="V9"/>
    </row>
    <row r="10" spans="1:24" s="64" customFormat="1" x14ac:dyDescent="0.25">
      <c r="A10" s="1"/>
      <c r="B10" s="1"/>
      <c r="C10" s="1"/>
      <c r="D10" s="1"/>
      <c r="E10" s="1"/>
      <c r="F10" s="1"/>
      <c r="G10" s="1"/>
      <c r="H10" s="1"/>
      <c r="I10" s="1"/>
      <c r="J10" s="1"/>
      <c r="K10" s="1"/>
      <c r="L10" s="1"/>
      <c r="M10" s="1"/>
      <c r="N10" s="12"/>
      <c r="O10"/>
      <c r="P10"/>
      <c r="Q10"/>
      <c r="R10"/>
      <c r="S10"/>
      <c r="T10"/>
      <c r="U10"/>
      <c r="V10"/>
    </row>
    <row r="11" spans="1:24" s="64" customFormat="1" x14ac:dyDescent="0.25">
      <c r="A11" s="1"/>
      <c r="B11" s="1"/>
      <c r="C11" s="1"/>
      <c r="D11" s="1"/>
      <c r="E11" s="1"/>
      <c r="F11" s="1"/>
      <c r="G11" s="1"/>
      <c r="H11" s="1"/>
      <c r="I11" s="1"/>
      <c r="J11" s="1"/>
      <c r="K11" s="1"/>
      <c r="L11" s="1"/>
      <c r="M11" s="1"/>
      <c r="N11" s="12"/>
      <c r="O11"/>
      <c r="P11"/>
      <c r="Q11"/>
      <c r="R11"/>
      <c r="S11"/>
      <c r="T11"/>
      <c r="U11"/>
      <c r="V11"/>
    </row>
    <row r="12" spans="1:24" s="64" customFormat="1" x14ac:dyDescent="0.25">
      <c r="A12" s="1"/>
      <c r="B12" s="1"/>
      <c r="C12" s="1"/>
      <c r="D12" s="1"/>
      <c r="E12" s="1"/>
      <c r="F12" s="1"/>
      <c r="G12" s="1"/>
      <c r="H12" s="1"/>
      <c r="I12" s="1"/>
      <c r="J12" s="1"/>
      <c r="K12" s="1"/>
      <c r="L12" s="1"/>
      <c r="M12" s="1"/>
      <c r="N12" s="12"/>
      <c r="O12"/>
      <c r="P12"/>
      <c r="Q12"/>
      <c r="R12"/>
      <c r="S12"/>
      <c r="T12"/>
      <c r="U12"/>
      <c r="V12"/>
    </row>
    <row r="13" spans="1:24" s="64" customFormat="1" x14ac:dyDescent="0.25">
      <c r="A13" s="1"/>
      <c r="B13" s="1"/>
      <c r="C13" s="1"/>
      <c r="D13" s="1"/>
      <c r="E13" s="1"/>
      <c r="F13" s="1"/>
      <c r="G13" s="1"/>
      <c r="H13" s="1"/>
      <c r="I13" s="1"/>
      <c r="J13" s="1"/>
      <c r="K13" s="1"/>
      <c r="L13" s="1"/>
      <c r="M13" s="1"/>
      <c r="N13" s="12"/>
      <c r="O13"/>
      <c r="P13"/>
      <c r="Q13"/>
      <c r="R13"/>
      <c r="S13"/>
      <c r="T13"/>
      <c r="U13"/>
      <c r="V13"/>
    </row>
    <row r="14" spans="1:24" s="64" customFormat="1" x14ac:dyDescent="0.25">
      <c r="A14" s="1"/>
      <c r="B14" s="1"/>
      <c r="C14" s="1"/>
      <c r="D14" s="1"/>
      <c r="E14" s="1"/>
      <c r="F14" s="1"/>
      <c r="G14" s="1"/>
      <c r="H14" s="1"/>
      <c r="I14" s="1"/>
      <c r="J14" s="1"/>
      <c r="K14" s="1"/>
      <c r="L14" s="1"/>
      <c r="M14" s="1"/>
      <c r="N14" s="12"/>
      <c r="O14"/>
      <c r="P14"/>
      <c r="Q14"/>
      <c r="R14"/>
      <c r="S14"/>
      <c r="T14"/>
      <c r="U14"/>
      <c r="V14"/>
    </row>
    <row r="15" spans="1:24" s="64" customFormat="1" x14ac:dyDescent="0.25">
      <c r="A15" s="1"/>
      <c r="B15" s="1"/>
      <c r="C15" s="1"/>
      <c r="D15" s="1"/>
      <c r="E15" s="1"/>
      <c r="F15" s="1"/>
      <c r="G15" s="1"/>
      <c r="H15" s="1"/>
      <c r="I15" s="1"/>
      <c r="J15" s="1"/>
      <c r="K15" s="1"/>
      <c r="L15" s="1"/>
      <c r="M15" s="1"/>
      <c r="N15" s="12"/>
      <c r="O15"/>
      <c r="P15"/>
      <c r="Q15"/>
      <c r="R15"/>
      <c r="S15"/>
      <c r="T15"/>
      <c r="U15"/>
      <c r="V15"/>
    </row>
    <row r="16" spans="1:24" s="64" customFormat="1" x14ac:dyDescent="0.25">
      <c r="A16" s="1"/>
      <c r="B16" s="1"/>
      <c r="C16" s="1"/>
      <c r="D16" s="1"/>
      <c r="E16" s="1"/>
      <c r="F16" s="1"/>
      <c r="G16" s="1"/>
      <c r="H16" s="1"/>
      <c r="I16" s="1"/>
      <c r="J16" s="1"/>
      <c r="K16" s="1"/>
      <c r="L16" s="1"/>
      <c r="M16" s="1"/>
      <c r="N16" s="12"/>
      <c r="O16"/>
      <c r="P16"/>
      <c r="Q16"/>
      <c r="R16"/>
      <c r="S16"/>
      <c r="T16"/>
      <c r="U16"/>
      <c r="V16"/>
    </row>
    <row r="17" spans="1:22" s="64" customFormat="1" x14ac:dyDescent="0.25">
      <c r="A17" s="1"/>
      <c r="B17" s="1"/>
      <c r="C17" s="1"/>
      <c r="D17" s="1"/>
      <c r="E17" s="1"/>
      <c r="F17" s="1"/>
      <c r="G17" s="1"/>
      <c r="H17" s="1"/>
      <c r="I17" s="1"/>
      <c r="J17" s="1"/>
      <c r="K17" s="1"/>
      <c r="L17" s="1"/>
      <c r="M17" s="1"/>
      <c r="N17" s="12"/>
      <c r="O17"/>
      <c r="P17"/>
      <c r="Q17"/>
      <c r="R17"/>
      <c r="S17"/>
      <c r="T17"/>
      <c r="U17"/>
      <c r="V17"/>
    </row>
    <row r="18" spans="1:22" s="63" customFormat="1" x14ac:dyDescent="0.25">
      <c r="A18" s="1"/>
      <c r="B18" s="1"/>
      <c r="C18" s="1"/>
      <c r="D18" s="1"/>
      <c r="E18" s="1"/>
      <c r="F18" s="1"/>
      <c r="G18" s="1"/>
      <c r="H18" s="1"/>
      <c r="I18" s="1"/>
      <c r="J18" s="1"/>
      <c r="K18" s="1"/>
      <c r="L18" s="1"/>
      <c r="M18" s="1"/>
      <c r="N18" s="62"/>
      <c r="O18"/>
      <c r="P18"/>
      <c r="Q18"/>
      <c r="R18"/>
      <c r="S18"/>
      <c r="T18"/>
      <c r="U18"/>
      <c r="V18"/>
    </row>
    <row r="19" spans="1:22" s="64" customFormat="1" x14ac:dyDescent="0.25">
      <c r="A19" s="1"/>
      <c r="B19" s="1"/>
      <c r="C19" s="1"/>
      <c r="D19" s="1"/>
      <c r="E19" s="1"/>
      <c r="F19" s="1"/>
      <c r="G19" s="1"/>
      <c r="H19" s="1"/>
      <c r="I19" s="1"/>
      <c r="J19" s="1"/>
      <c r="K19" s="1"/>
      <c r="L19" s="1"/>
      <c r="M19" s="1"/>
      <c r="N19" s="12"/>
      <c r="O19"/>
      <c r="P19"/>
      <c r="Q19"/>
      <c r="R19"/>
      <c r="S19"/>
      <c r="T19"/>
      <c r="U19"/>
      <c r="V19"/>
    </row>
    <row r="20" spans="1:22" s="64" customFormat="1" x14ac:dyDescent="0.25">
      <c r="A20" s="1"/>
      <c r="B20" s="1"/>
      <c r="C20" s="1"/>
      <c r="D20" s="1"/>
      <c r="E20" s="1"/>
      <c r="F20" s="1"/>
      <c r="G20" s="1"/>
      <c r="H20" s="1"/>
      <c r="I20" s="1"/>
      <c r="J20" s="1"/>
      <c r="K20" s="1"/>
      <c r="L20" s="1"/>
      <c r="M20" s="1"/>
      <c r="N20" s="12"/>
      <c r="O20"/>
      <c r="P20"/>
      <c r="Q20"/>
      <c r="R20"/>
      <c r="S20"/>
      <c r="T20"/>
      <c r="U20"/>
      <c r="V20"/>
    </row>
    <row r="21" spans="1:22" s="63" customFormat="1" x14ac:dyDescent="0.25">
      <c r="A21" s="1"/>
      <c r="B21" s="1"/>
      <c r="C21" s="1"/>
      <c r="D21" s="1"/>
      <c r="E21" s="1"/>
      <c r="F21" s="1"/>
      <c r="G21" s="1"/>
      <c r="H21" s="1"/>
      <c r="I21" s="1"/>
      <c r="J21" s="1"/>
      <c r="K21" s="1"/>
      <c r="L21" s="1"/>
      <c r="M21" s="1"/>
      <c r="N21" s="12"/>
      <c r="O21"/>
      <c r="P21"/>
      <c r="Q21"/>
      <c r="R21"/>
      <c r="S21"/>
      <c r="T21"/>
      <c r="U21"/>
      <c r="V21"/>
    </row>
    <row r="22" spans="1:22" s="63" customFormat="1" x14ac:dyDescent="0.25">
      <c r="A22" s="1"/>
      <c r="B22" s="1"/>
      <c r="C22" s="1"/>
      <c r="D22" s="1"/>
      <c r="E22" s="1"/>
      <c r="F22" s="1"/>
      <c r="G22" s="1"/>
      <c r="H22" s="1"/>
      <c r="I22" s="1"/>
      <c r="J22" s="1"/>
      <c r="K22" s="1"/>
      <c r="L22" s="1"/>
      <c r="M22" s="1"/>
      <c r="N22" s="12"/>
      <c r="O22"/>
      <c r="P22"/>
      <c r="Q22"/>
      <c r="R22"/>
      <c r="S22"/>
      <c r="T22"/>
      <c r="U22"/>
      <c r="V22"/>
    </row>
    <row r="23" spans="1:22" s="63" customFormat="1" x14ac:dyDescent="0.25">
      <c r="A23" s="1"/>
      <c r="B23" s="1"/>
      <c r="C23" s="1"/>
      <c r="D23" s="1"/>
      <c r="E23" s="1"/>
      <c r="F23" s="1"/>
      <c r="G23" s="1"/>
      <c r="H23" s="1"/>
      <c r="I23" s="1"/>
      <c r="J23" s="1"/>
      <c r="K23" s="1"/>
      <c r="L23" s="1"/>
      <c r="M23" s="1"/>
      <c r="N23" s="12"/>
      <c r="O23"/>
      <c r="P23"/>
      <c r="Q23"/>
      <c r="R23"/>
      <c r="S23"/>
      <c r="T23"/>
      <c r="U23"/>
      <c r="V23"/>
    </row>
    <row r="24" spans="1:22" s="64" customFormat="1" x14ac:dyDescent="0.25">
      <c r="A24" s="1"/>
      <c r="B24" s="1"/>
      <c r="C24" s="1"/>
      <c r="D24" s="1"/>
      <c r="E24" s="1"/>
      <c r="F24" s="1"/>
      <c r="G24" s="1"/>
      <c r="H24" s="1"/>
      <c r="I24" s="1"/>
      <c r="J24" s="1"/>
      <c r="K24" s="1"/>
      <c r="L24" s="1"/>
      <c r="M24" s="1"/>
      <c r="N24" s="12"/>
      <c r="O24"/>
      <c r="P24"/>
      <c r="Q24"/>
      <c r="R24"/>
      <c r="S24"/>
      <c r="T24"/>
      <c r="U24"/>
      <c r="V24"/>
    </row>
    <row r="25" spans="1:22" s="64" customFormat="1" x14ac:dyDescent="0.25">
      <c r="A25" s="1"/>
      <c r="B25" s="1"/>
      <c r="C25" s="1"/>
      <c r="D25" s="1"/>
      <c r="E25" s="1"/>
      <c r="F25" s="1"/>
      <c r="G25" s="1"/>
      <c r="H25" s="1"/>
      <c r="I25" s="1"/>
      <c r="J25" s="1"/>
      <c r="K25" s="1"/>
      <c r="L25" s="1"/>
      <c r="M25" s="1"/>
      <c r="N25" s="12"/>
      <c r="O25"/>
      <c r="P25"/>
      <c r="Q25"/>
      <c r="R25"/>
      <c r="S25"/>
      <c r="T25"/>
      <c r="U25"/>
      <c r="V25"/>
    </row>
    <row r="26" spans="1:22" s="63" customFormat="1" x14ac:dyDescent="0.25">
      <c r="A26" s="1"/>
      <c r="B26" s="1"/>
      <c r="C26" s="1"/>
      <c r="D26" s="1"/>
      <c r="E26" s="1"/>
      <c r="F26" s="1"/>
      <c r="G26" s="1"/>
      <c r="H26" s="1"/>
      <c r="I26" s="1"/>
      <c r="J26" s="1"/>
      <c r="K26" s="1"/>
      <c r="L26" s="1"/>
      <c r="M26" s="1"/>
      <c r="N26" s="12"/>
      <c r="O26"/>
      <c r="P26"/>
      <c r="Q26"/>
      <c r="R26"/>
      <c r="S26"/>
      <c r="T26"/>
      <c r="U26"/>
      <c r="V26"/>
    </row>
    <row r="27" spans="1:22" s="64" customFormat="1" x14ac:dyDescent="0.25">
      <c r="A27" s="1"/>
      <c r="B27" s="1"/>
      <c r="C27" s="1"/>
      <c r="D27" s="1"/>
      <c r="E27" s="1"/>
      <c r="F27" s="1"/>
      <c r="G27" s="1"/>
      <c r="H27" s="1"/>
      <c r="I27" s="1"/>
      <c r="J27" s="1"/>
      <c r="K27" s="1"/>
      <c r="L27" s="1"/>
      <c r="M27" s="1"/>
      <c r="N27" s="62"/>
      <c r="O27"/>
      <c r="P27"/>
      <c r="Q27"/>
      <c r="R27"/>
      <c r="S27"/>
      <c r="T27"/>
      <c r="U27"/>
      <c r="V27"/>
    </row>
    <row r="28" spans="1:22" s="64" customFormat="1" x14ac:dyDescent="0.25">
      <c r="A28" s="1"/>
      <c r="B28" s="1"/>
      <c r="C28" s="1"/>
      <c r="D28" s="1"/>
      <c r="E28" s="1"/>
      <c r="F28" s="1"/>
      <c r="G28" s="1"/>
      <c r="H28" s="1"/>
      <c r="I28" s="1"/>
      <c r="J28" s="1"/>
      <c r="K28" s="1"/>
      <c r="L28" s="1"/>
      <c r="M28" s="1"/>
      <c r="N28" s="62"/>
      <c r="O28"/>
      <c r="P28"/>
      <c r="Q28"/>
      <c r="R28"/>
      <c r="S28"/>
      <c r="T28"/>
      <c r="U28"/>
      <c r="V28"/>
    </row>
    <row r="29" spans="1:22" s="64" customFormat="1" x14ac:dyDescent="0.25">
      <c r="A29" s="1"/>
      <c r="B29" s="1"/>
      <c r="C29" s="1"/>
      <c r="D29" s="1"/>
      <c r="E29" s="1"/>
      <c r="F29" s="1"/>
      <c r="G29" s="1"/>
      <c r="H29" s="1"/>
      <c r="I29" s="1"/>
      <c r="J29" s="1"/>
      <c r="K29" s="1"/>
      <c r="L29" s="1"/>
      <c r="M29" s="1"/>
      <c r="N29" s="12"/>
      <c r="O29"/>
      <c r="P29"/>
      <c r="Q29"/>
      <c r="R29"/>
      <c r="S29"/>
      <c r="T29"/>
      <c r="U29"/>
      <c r="V29"/>
    </row>
    <row r="30" spans="1:22" s="64" customFormat="1" x14ac:dyDescent="0.25">
      <c r="A30" s="1"/>
      <c r="B30" s="1"/>
      <c r="C30" s="1"/>
      <c r="D30" s="1"/>
      <c r="E30" s="1"/>
      <c r="F30" s="1"/>
      <c r="G30" s="1"/>
      <c r="H30" s="1"/>
      <c r="I30" s="1"/>
      <c r="J30" s="1"/>
      <c r="K30" s="1"/>
      <c r="L30" s="1"/>
      <c r="M30" s="1"/>
      <c r="N30" s="12"/>
      <c r="O30"/>
      <c r="P30"/>
      <c r="Q30"/>
      <c r="R30"/>
      <c r="S30"/>
      <c r="T30"/>
      <c r="U30"/>
      <c r="V30"/>
    </row>
    <row r="31" spans="1:22" s="64" customFormat="1" x14ac:dyDescent="0.25">
      <c r="A31" s="1"/>
      <c r="B31" s="1"/>
      <c r="C31" s="1"/>
      <c r="D31" s="1"/>
      <c r="E31" s="1"/>
      <c r="F31" s="1"/>
      <c r="G31" s="1"/>
      <c r="H31" s="1"/>
      <c r="I31" s="1"/>
      <c r="J31" s="1"/>
      <c r="K31" s="1"/>
      <c r="L31" s="1"/>
      <c r="M31" s="1"/>
      <c r="N31" s="12"/>
      <c r="O31"/>
      <c r="P31"/>
      <c r="Q31"/>
      <c r="R31"/>
      <c r="S31"/>
      <c r="T31"/>
      <c r="U31"/>
      <c r="V31"/>
    </row>
    <row r="32" spans="1:22" s="64" customFormat="1" x14ac:dyDescent="0.25">
      <c r="A32" s="1"/>
      <c r="B32" s="1"/>
      <c r="C32" s="1"/>
      <c r="D32" s="1"/>
      <c r="E32" s="1"/>
      <c r="F32" s="1"/>
      <c r="G32" s="1"/>
      <c r="H32" s="1"/>
      <c r="I32" s="1"/>
      <c r="J32" s="1"/>
      <c r="K32" s="1"/>
      <c r="L32" s="1"/>
      <c r="M32" s="1"/>
      <c r="N32" s="12"/>
      <c r="O32"/>
      <c r="P32"/>
      <c r="Q32"/>
      <c r="R32"/>
      <c r="S32"/>
      <c r="T32"/>
      <c r="U32"/>
      <c r="V32"/>
    </row>
    <row r="33" spans="14:14" x14ac:dyDescent="0.25">
      <c r="N33" s="12"/>
    </row>
    <row r="34" spans="14:14" x14ac:dyDescent="0.25">
      <c r="N34" s="12"/>
    </row>
    <row r="35" spans="14:14" x14ac:dyDescent="0.25">
      <c r="N35" s="12"/>
    </row>
    <row r="36" spans="14:14" x14ac:dyDescent="0.25">
      <c r="N36" s="12"/>
    </row>
    <row r="37" spans="14:14" x14ac:dyDescent="0.25">
      <c r="N37" s="12"/>
    </row>
  </sheetData>
  <printOptions gridLines="1"/>
  <pageMargins left="0.7" right="0.7" top="0.75" bottom="0.75" header="0.3" footer="0.3"/>
  <pageSetup paperSize="9" scale="8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U23"/>
  <sheetViews>
    <sheetView view="pageBreakPreview" zoomScale="115" zoomScaleNormal="115" zoomScaleSheetLayoutView="115" workbookViewId="0"/>
  </sheetViews>
  <sheetFormatPr defaultColWidth="8.7109375" defaultRowHeight="15" x14ac:dyDescent="0.25"/>
  <cols>
    <col min="1" max="1" width="5.42578125" style="2" customWidth="1"/>
    <col min="2" max="2" width="6.42578125" style="2" customWidth="1"/>
    <col min="3" max="3" width="6.28515625" style="2" customWidth="1"/>
    <col min="4" max="4" width="19.42578125" style="2" customWidth="1"/>
    <col min="5" max="5" width="12.7109375" style="2" customWidth="1"/>
    <col min="6" max="6" width="6.42578125" style="3" customWidth="1"/>
    <col min="7" max="7" width="7.42578125" style="3" customWidth="1"/>
    <col min="8" max="8" width="7.85546875" style="3" customWidth="1"/>
    <col min="9" max="9" width="6.7109375" style="3" customWidth="1"/>
    <col min="10" max="10" width="23.7109375" style="2" customWidth="1"/>
    <col min="11" max="11" width="44.28515625" style="2" customWidth="1"/>
    <col min="22" max="16384" width="8.7109375" style="2"/>
  </cols>
  <sheetData>
    <row r="1" spans="1:21" x14ac:dyDescent="0.25">
      <c r="A1" s="28" t="s">
        <v>1187</v>
      </c>
      <c r="B1" s="65"/>
      <c r="C1" s="66"/>
    </row>
    <row r="2" spans="1:21" x14ac:dyDescent="0.25">
      <c r="A2" s="65" t="s">
        <v>53</v>
      </c>
      <c r="B2" s="65"/>
      <c r="C2" s="66"/>
    </row>
    <row r="3" spans="1:21" x14ac:dyDescent="0.25">
      <c r="A3" s="65" t="s">
        <v>794</v>
      </c>
      <c r="B3" s="65"/>
      <c r="C3" s="66"/>
    </row>
    <row r="4" spans="1:21" ht="22.5" x14ac:dyDescent="0.25">
      <c r="A4" s="67" t="s">
        <v>0</v>
      </c>
      <c r="B4" s="67" t="s">
        <v>1</v>
      </c>
      <c r="C4" s="67" t="s">
        <v>2</v>
      </c>
      <c r="D4" s="55" t="s">
        <v>3</v>
      </c>
      <c r="E4" s="55" t="s">
        <v>4</v>
      </c>
      <c r="F4" s="7" t="s">
        <v>7</v>
      </c>
      <c r="G4" s="6" t="s">
        <v>9</v>
      </c>
      <c r="H4" s="6" t="s">
        <v>10</v>
      </c>
      <c r="I4" s="7" t="s">
        <v>46</v>
      </c>
      <c r="J4" s="56" t="s">
        <v>12</v>
      </c>
      <c r="K4" s="55" t="s">
        <v>13</v>
      </c>
    </row>
    <row r="5" spans="1:21" s="71" customFormat="1" ht="18" customHeight="1" x14ac:dyDescent="0.25">
      <c r="A5" s="68" t="s">
        <v>54</v>
      </c>
      <c r="B5" s="69">
        <v>4.3</v>
      </c>
      <c r="C5" s="4" t="s">
        <v>66</v>
      </c>
      <c r="D5" s="70" t="s">
        <v>55</v>
      </c>
      <c r="E5" s="71" t="s">
        <v>55</v>
      </c>
      <c r="F5" s="72">
        <f>8.236*(365/7)</f>
        <v>429.44857142857148</v>
      </c>
      <c r="G5" s="73">
        <v>1</v>
      </c>
      <c r="H5" s="74">
        <f>365/7</f>
        <v>52.142857142857146</v>
      </c>
      <c r="I5" s="58">
        <f t="shared" ref="I5:I10" si="0">G5*F5/H5</f>
        <v>8.2360000000000007</v>
      </c>
      <c r="J5" s="70"/>
      <c r="K5" s="75"/>
      <c r="L5"/>
      <c r="M5"/>
      <c r="N5"/>
      <c r="O5"/>
      <c r="P5"/>
      <c r="Q5"/>
      <c r="R5"/>
      <c r="S5"/>
      <c r="T5"/>
      <c r="U5"/>
    </row>
    <row r="6" spans="1:21" ht="26.1" customHeight="1" x14ac:dyDescent="0.25">
      <c r="A6" s="68" t="s">
        <v>56</v>
      </c>
      <c r="B6" s="69" t="s">
        <v>57</v>
      </c>
      <c r="C6" s="4" t="s">
        <v>66</v>
      </c>
      <c r="D6" s="70" t="s">
        <v>58</v>
      </c>
      <c r="E6" s="71" t="s">
        <v>58</v>
      </c>
      <c r="F6" s="72">
        <v>1440.8700000000001</v>
      </c>
      <c r="G6" s="73">
        <v>1</v>
      </c>
      <c r="H6" s="74">
        <f>365/7</f>
        <v>52.142857142857146</v>
      </c>
      <c r="I6" s="58">
        <f t="shared" si="0"/>
        <v>27.633123287671232</v>
      </c>
      <c r="J6" s="70"/>
      <c r="K6" s="76" t="s">
        <v>907</v>
      </c>
    </row>
    <row r="7" spans="1:21" ht="56.25" x14ac:dyDescent="0.25">
      <c r="A7" s="68" t="s">
        <v>59</v>
      </c>
      <c r="B7" s="69">
        <v>12.5</v>
      </c>
      <c r="C7" s="4" t="s">
        <v>66</v>
      </c>
      <c r="D7" s="70" t="s">
        <v>908</v>
      </c>
      <c r="E7" s="71" t="s">
        <v>60</v>
      </c>
      <c r="F7" s="72">
        <v>17.899999999999999</v>
      </c>
      <c r="G7" s="73">
        <v>1</v>
      </c>
      <c r="H7" s="74">
        <f>365/84</f>
        <v>4.3452380952380949</v>
      </c>
      <c r="I7" s="58">
        <f t="shared" si="0"/>
        <v>4.1194520547945208</v>
      </c>
      <c r="J7" s="76" t="s">
        <v>909</v>
      </c>
      <c r="K7" s="70" t="s">
        <v>910</v>
      </c>
    </row>
    <row r="8" spans="1:21" x14ac:dyDescent="0.25">
      <c r="A8" s="68" t="s">
        <v>61</v>
      </c>
      <c r="B8" s="69">
        <v>4.5</v>
      </c>
      <c r="C8" s="4" t="s">
        <v>66</v>
      </c>
      <c r="D8" s="70" t="s">
        <v>62</v>
      </c>
      <c r="E8" s="71"/>
      <c r="F8" s="72">
        <v>2958.6941935</v>
      </c>
      <c r="G8" s="73">
        <v>1</v>
      </c>
      <c r="H8" s="74">
        <f>365/7</f>
        <v>52.142857142857146</v>
      </c>
      <c r="I8" s="58">
        <f t="shared" si="0"/>
        <v>56.742080423287668</v>
      </c>
      <c r="J8" s="70"/>
      <c r="K8" s="70"/>
    </row>
    <row r="9" spans="1:21" ht="33.75" x14ac:dyDescent="0.25">
      <c r="A9" s="77" t="s">
        <v>63</v>
      </c>
      <c r="B9" s="78">
        <v>4.3</v>
      </c>
      <c r="C9" s="4" t="s">
        <v>66</v>
      </c>
      <c r="D9" s="77" t="s">
        <v>64</v>
      </c>
      <c r="E9" s="79" t="s">
        <v>65</v>
      </c>
      <c r="F9" s="58">
        <v>800</v>
      </c>
      <c r="G9" s="59">
        <v>1</v>
      </c>
      <c r="H9" s="74">
        <f>365/7</f>
        <v>52.142857142857146</v>
      </c>
      <c r="I9" s="58">
        <f t="shared" si="0"/>
        <v>15.342465753424657</v>
      </c>
      <c r="J9" s="70" t="s">
        <v>839</v>
      </c>
      <c r="K9" s="71"/>
    </row>
    <row r="10" spans="1:21" ht="104.1" customHeight="1" x14ac:dyDescent="0.25">
      <c r="B10" s="78">
        <v>4.3</v>
      </c>
      <c r="C10" s="4" t="s">
        <v>66</v>
      </c>
      <c r="D10" s="80" t="s">
        <v>967</v>
      </c>
      <c r="E10" s="76" t="s">
        <v>968</v>
      </c>
      <c r="F10" s="2">
        <v>33.21</v>
      </c>
      <c r="G10" s="2">
        <v>1</v>
      </c>
      <c r="H10" s="81">
        <f>365/84</f>
        <v>4.3452380952380949</v>
      </c>
      <c r="I10" s="81">
        <f t="shared" si="0"/>
        <v>7.642849315068494</v>
      </c>
      <c r="J10" s="2" t="s">
        <v>969</v>
      </c>
      <c r="K10" s="76" t="s">
        <v>970</v>
      </c>
    </row>
    <row r="11" spans="1:21" x14ac:dyDescent="0.25">
      <c r="A11" s="4"/>
      <c r="B11" s="15"/>
      <c r="C11" s="4"/>
      <c r="E11" s="82"/>
      <c r="F11" s="15"/>
      <c r="G11" s="15"/>
      <c r="H11" s="8"/>
      <c r="I11" s="13"/>
    </row>
    <row r="12" spans="1:21" s="71" customFormat="1" ht="14.25" customHeight="1" x14ac:dyDescent="0.25">
      <c r="A12" s="68"/>
      <c r="B12" s="69"/>
      <c r="C12" s="4"/>
      <c r="D12" s="70" t="s">
        <v>810</v>
      </c>
      <c r="E12" s="71">
        <v>0</v>
      </c>
      <c r="F12" s="83"/>
      <c r="G12" s="78"/>
      <c r="H12" s="84"/>
      <c r="I12" s="13"/>
      <c r="J12" s="70"/>
      <c r="K12" s="70"/>
      <c r="L12"/>
      <c r="M12"/>
      <c r="N12"/>
      <c r="O12"/>
      <c r="P12"/>
      <c r="Q12"/>
      <c r="R12"/>
      <c r="S12"/>
      <c r="T12"/>
      <c r="U12"/>
    </row>
    <row r="13" spans="1:21" ht="12.75" customHeight="1" x14ac:dyDescent="0.25">
      <c r="A13" s="68"/>
      <c r="B13" s="69"/>
      <c r="C13" s="4"/>
      <c r="D13" s="70" t="s">
        <v>811</v>
      </c>
      <c r="E13" s="85">
        <f>I5</f>
        <v>8.2360000000000007</v>
      </c>
      <c r="F13" s="83"/>
      <c r="G13" s="78"/>
      <c r="H13" s="84"/>
      <c r="I13" s="13"/>
      <c r="J13" s="70"/>
    </row>
    <row r="14" spans="1:21" x14ac:dyDescent="0.25">
      <c r="A14" s="68"/>
      <c r="B14" s="69"/>
      <c r="C14" s="4"/>
      <c r="D14" s="70" t="s">
        <v>812</v>
      </c>
      <c r="E14" s="85">
        <f>I6</f>
        <v>27.633123287671232</v>
      </c>
      <c r="F14" s="83"/>
      <c r="G14" s="78"/>
      <c r="H14" s="84"/>
      <c r="I14" s="13"/>
      <c r="J14" s="70"/>
      <c r="K14" s="70"/>
    </row>
    <row r="15" spans="1:21" ht="13.5" customHeight="1" x14ac:dyDescent="0.25">
      <c r="A15" s="68"/>
      <c r="B15" s="69"/>
      <c r="C15" s="4"/>
      <c r="D15" s="70" t="s">
        <v>813</v>
      </c>
      <c r="E15" s="85">
        <f>I7</f>
        <v>4.1194520547945208</v>
      </c>
      <c r="F15" s="83"/>
      <c r="G15" s="78"/>
      <c r="H15" s="84"/>
      <c r="I15" s="13"/>
      <c r="J15" s="70"/>
      <c r="K15" s="70"/>
    </row>
    <row r="16" spans="1:21" x14ac:dyDescent="0.25">
      <c r="A16" s="77"/>
      <c r="B16" s="78"/>
      <c r="C16" s="4"/>
      <c r="D16" s="77" t="s">
        <v>814</v>
      </c>
      <c r="E16" s="86">
        <f>I8</f>
        <v>56.742080423287668</v>
      </c>
      <c r="F16" s="13"/>
      <c r="G16" s="12"/>
      <c r="H16" s="84"/>
      <c r="I16" s="13"/>
      <c r="J16" s="70"/>
      <c r="K16" s="71"/>
    </row>
    <row r="17" spans="1:21" ht="15.75" customHeight="1" x14ac:dyDescent="0.25">
      <c r="D17" s="2" t="s">
        <v>815</v>
      </c>
      <c r="E17" s="81">
        <f>I9+I10</f>
        <v>22.985315068493151</v>
      </c>
    </row>
    <row r="18" spans="1:21" x14ac:dyDescent="0.25">
      <c r="A18" s="4"/>
      <c r="B18" s="15"/>
      <c r="C18" s="4"/>
      <c r="E18" s="4"/>
      <c r="G18" s="15"/>
      <c r="H18" s="8"/>
      <c r="I18" s="13"/>
      <c r="K18" s="4"/>
    </row>
    <row r="19" spans="1:21" s="71" customFormat="1" ht="126.75" customHeight="1" x14ac:dyDescent="0.25">
      <c r="A19" s="68"/>
      <c r="B19" s="69"/>
      <c r="C19" s="4"/>
      <c r="D19" s="70"/>
      <c r="F19" s="83"/>
      <c r="G19" s="78"/>
      <c r="H19" s="84"/>
      <c r="I19" s="13"/>
      <c r="J19" s="70"/>
      <c r="K19" s="70"/>
      <c r="L19"/>
      <c r="M19"/>
      <c r="N19"/>
      <c r="O19"/>
      <c r="P19"/>
      <c r="Q19"/>
      <c r="R19"/>
      <c r="S19"/>
      <c r="T19"/>
      <c r="U19"/>
    </row>
    <row r="20" spans="1:21" ht="24.75" customHeight="1" x14ac:dyDescent="0.25">
      <c r="A20" s="68"/>
      <c r="B20" s="69"/>
      <c r="C20" s="4"/>
      <c r="D20" s="70"/>
      <c r="E20" s="71"/>
      <c r="F20" s="83"/>
      <c r="G20" s="78"/>
      <c r="H20" s="84"/>
      <c r="I20" s="13"/>
      <c r="J20" s="70"/>
    </row>
    <row r="21" spans="1:21" x14ac:dyDescent="0.25">
      <c r="A21" s="68"/>
      <c r="B21" s="69"/>
      <c r="C21" s="4"/>
      <c r="D21" s="70"/>
      <c r="E21" s="71"/>
      <c r="F21" s="83"/>
      <c r="G21" s="78"/>
      <c r="H21" s="84"/>
      <c r="I21" s="13"/>
      <c r="J21" s="70"/>
      <c r="K21" s="70"/>
    </row>
    <row r="22" spans="1:21" x14ac:dyDescent="0.25">
      <c r="A22" s="68"/>
      <c r="B22" s="69"/>
      <c r="C22" s="4"/>
      <c r="D22" s="70"/>
      <c r="E22" s="71"/>
      <c r="F22" s="83"/>
      <c r="G22" s="78"/>
      <c r="H22" s="84"/>
      <c r="I22" s="13"/>
      <c r="J22" s="70"/>
      <c r="K22" s="70"/>
    </row>
    <row r="23" spans="1:21" x14ac:dyDescent="0.25">
      <c r="A23" s="77"/>
      <c r="B23" s="78"/>
      <c r="C23" s="4"/>
      <c r="D23" s="77"/>
      <c r="E23" s="79"/>
      <c r="F23" s="13"/>
      <c r="G23" s="12"/>
      <c r="H23" s="84"/>
      <c r="I23" s="13"/>
      <c r="J23" s="70"/>
      <c r="K23" s="71"/>
    </row>
  </sheetData>
  <conditionalFormatting sqref="M194:T194">
    <cfRule type="cellIs" priority="2" operator="equal">
      <formula>0</formula>
    </cfRule>
  </conditionalFormatting>
  <conditionalFormatting sqref="M296:T297">
    <cfRule type="cellIs" dxfId="1" priority="1" operator="equal">
      <formula>0</formula>
    </cfRule>
  </conditionalFormatting>
  <printOptions gridLines="1"/>
  <pageMargins left="0.7" right="0.7" top="0.75" bottom="0.75" header="0.3" footer="0.3"/>
  <pageSetup paperSize="9" scale="7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V550"/>
  <sheetViews>
    <sheetView view="pageBreakPreview" zoomScale="107" zoomScaleNormal="115" zoomScaleSheetLayoutView="85" workbookViewId="0"/>
  </sheetViews>
  <sheetFormatPr defaultColWidth="8.85546875" defaultRowHeight="15" x14ac:dyDescent="0.25"/>
  <cols>
    <col min="1" max="1" width="5.28515625" customWidth="1"/>
    <col min="2" max="2" width="6.7109375" customWidth="1"/>
    <col min="3" max="3" width="5.85546875" customWidth="1"/>
    <col min="4" max="4" width="15.85546875" customWidth="1"/>
    <col min="5" max="5" width="12.28515625" customWidth="1"/>
    <col min="6" max="6" width="9.42578125" customWidth="1"/>
    <col min="7" max="8" width="6.42578125" style="115" customWidth="1"/>
    <col min="9" max="9" width="7.28515625" style="115" customWidth="1"/>
    <col min="10" max="10" width="7.7109375" style="115" customWidth="1"/>
    <col min="11" max="11" width="6.7109375" style="115" customWidth="1"/>
    <col min="12" max="12" width="30" customWidth="1"/>
    <col min="13" max="13" width="29.85546875" style="115" customWidth="1"/>
    <col min="14" max="14" width="19.42578125" customWidth="1"/>
  </cols>
  <sheetData>
    <row r="1" spans="1:22" s="80" customFormat="1" x14ac:dyDescent="0.25">
      <c r="A1" s="28" t="s">
        <v>1187</v>
      </c>
      <c r="B1" s="14"/>
      <c r="F1" s="76"/>
      <c r="G1" s="10"/>
      <c r="H1" s="10"/>
      <c r="I1" s="10"/>
      <c r="J1" s="10"/>
      <c r="K1" s="52"/>
      <c r="M1" s="10"/>
      <c r="O1"/>
      <c r="P1"/>
      <c r="Q1"/>
      <c r="R1"/>
      <c r="S1"/>
      <c r="T1"/>
      <c r="U1"/>
      <c r="V1"/>
    </row>
    <row r="2" spans="1:22" s="55" customFormat="1" x14ac:dyDescent="0.25">
      <c r="A2" s="87" t="s">
        <v>67</v>
      </c>
      <c r="B2" s="11"/>
      <c r="C2" s="87"/>
      <c r="G2" s="11"/>
      <c r="H2" s="6"/>
      <c r="I2" s="6"/>
      <c r="J2" s="6"/>
      <c r="K2" s="7"/>
      <c r="M2" s="6"/>
      <c r="O2"/>
      <c r="P2"/>
      <c r="Q2"/>
      <c r="R2"/>
      <c r="S2"/>
      <c r="T2"/>
      <c r="U2"/>
      <c r="V2"/>
    </row>
    <row r="3" spans="1:22" s="61" customFormat="1" x14ac:dyDescent="0.25">
      <c r="A3" s="87" t="s">
        <v>794</v>
      </c>
      <c r="B3" s="11"/>
      <c r="G3" s="1"/>
      <c r="H3" s="1"/>
      <c r="I3" s="1"/>
      <c r="J3" s="1"/>
      <c r="K3" s="9"/>
      <c r="M3" s="1"/>
      <c r="O3"/>
      <c r="P3"/>
      <c r="Q3"/>
      <c r="R3"/>
      <c r="S3"/>
      <c r="T3"/>
      <c r="U3"/>
      <c r="V3"/>
    </row>
    <row r="4" spans="1:22" s="1" customFormat="1" ht="33.75" x14ac:dyDescent="0.25">
      <c r="A4" s="5" t="s">
        <v>0</v>
      </c>
      <c r="B4" s="5" t="s">
        <v>1</v>
      </c>
      <c r="C4" s="5" t="s">
        <v>2</v>
      </c>
      <c r="D4" s="6" t="s">
        <v>3</v>
      </c>
      <c r="E4" s="6" t="s">
        <v>4</v>
      </c>
      <c r="F4" s="6" t="s">
        <v>6</v>
      </c>
      <c r="G4" s="7" t="s">
        <v>7</v>
      </c>
      <c r="H4" s="7" t="s">
        <v>8</v>
      </c>
      <c r="I4" s="6" t="s">
        <v>9</v>
      </c>
      <c r="J4" s="6" t="s">
        <v>10</v>
      </c>
      <c r="K4" s="7" t="s">
        <v>11</v>
      </c>
      <c r="L4" s="7" t="s">
        <v>12</v>
      </c>
      <c r="M4" s="6" t="s">
        <v>13</v>
      </c>
      <c r="N4" s="88"/>
      <c r="O4"/>
      <c r="P4"/>
      <c r="Q4"/>
      <c r="R4"/>
      <c r="S4"/>
      <c r="T4"/>
      <c r="U4"/>
      <c r="V4"/>
    </row>
    <row r="5" spans="1:22" ht="22.5" x14ac:dyDescent="0.25">
      <c r="A5" s="8" t="s">
        <v>68</v>
      </c>
      <c r="B5" s="8">
        <v>4.3</v>
      </c>
      <c r="C5" s="8" t="s">
        <v>66</v>
      </c>
      <c r="D5" s="1" t="s">
        <v>184</v>
      </c>
      <c r="E5" s="12" t="s">
        <v>185</v>
      </c>
      <c r="F5" s="12" t="s">
        <v>83</v>
      </c>
      <c r="G5" s="58">
        <v>5.3780738073807388</v>
      </c>
      <c r="H5" s="13"/>
      <c r="I5" s="59">
        <v>1</v>
      </c>
      <c r="J5" s="60">
        <f>365/7*20</f>
        <v>1042.8571428571429</v>
      </c>
      <c r="K5" s="42">
        <f t="shared" ref="K5:K34" si="0">G5*I5/J5</f>
        <v>5.1570570755705711E-3</v>
      </c>
      <c r="L5" s="13" t="s">
        <v>186</v>
      </c>
      <c r="M5" s="76" t="s">
        <v>187</v>
      </c>
    </row>
    <row r="6" spans="1:22" ht="22.5" x14ac:dyDescent="0.25">
      <c r="A6" s="8" t="s">
        <v>68</v>
      </c>
      <c r="B6" s="8">
        <v>4.3</v>
      </c>
      <c r="C6" s="8" t="s">
        <v>66</v>
      </c>
      <c r="D6" s="1" t="s">
        <v>184</v>
      </c>
      <c r="E6" s="12" t="s">
        <v>188</v>
      </c>
      <c r="F6" s="12" t="s">
        <v>83</v>
      </c>
      <c r="G6" s="58">
        <v>6.2814221422142227</v>
      </c>
      <c r="H6" s="58"/>
      <c r="I6" s="59">
        <v>1</v>
      </c>
      <c r="J6" s="60">
        <f>365/7*20</f>
        <v>1042.8571428571429</v>
      </c>
      <c r="K6" s="42">
        <f t="shared" si="0"/>
        <v>6.0232815062328162E-3</v>
      </c>
      <c r="L6" s="13" t="s">
        <v>971</v>
      </c>
      <c r="M6" s="12" t="s">
        <v>189</v>
      </c>
    </row>
    <row r="7" spans="1:22" x14ac:dyDescent="0.25">
      <c r="A7" s="8" t="s">
        <v>68</v>
      </c>
      <c r="B7" s="8">
        <v>4.3</v>
      </c>
      <c r="C7" s="8" t="s">
        <v>66</v>
      </c>
      <c r="D7" s="1" t="s">
        <v>184</v>
      </c>
      <c r="E7" s="12" t="s">
        <v>972</v>
      </c>
      <c r="F7" s="12" t="s">
        <v>73</v>
      </c>
      <c r="G7" s="58">
        <v>59.99</v>
      </c>
      <c r="H7" s="58"/>
      <c r="I7" s="59">
        <v>1</v>
      </c>
      <c r="J7" s="44">
        <f>365/7*10</f>
        <v>521.42857142857144</v>
      </c>
      <c r="K7" s="42">
        <f t="shared" si="0"/>
        <v>0.11504931506849315</v>
      </c>
      <c r="L7" s="13"/>
      <c r="M7" s="12" t="s">
        <v>973</v>
      </c>
    </row>
    <row r="8" spans="1:22" ht="45" x14ac:dyDescent="0.25">
      <c r="A8" s="8" t="s">
        <v>68</v>
      </c>
      <c r="B8" s="8">
        <v>4.3</v>
      </c>
      <c r="C8" s="8" t="s">
        <v>66</v>
      </c>
      <c r="D8" s="1" t="s">
        <v>184</v>
      </c>
      <c r="E8" s="12" t="s">
        <v>974</v>
      </c>
      <c r="F8" s="12" t="s">
        <v>83</v>
      </c>
      <c r="G8" s="58">
        <v>14.99</v>
      </c>
      <c r="H8" s="58"/>
      <c r="I8" s="59">
        <v>2</v>
      </c>
      <c r="J8" s="44">
        <f>365/7*20</f>
        <v>1042.8571428571429</v>
      </c>
      <c r="K8" s="42">
        <f t="shared" si="0"/>
        <v>2.874794520547945E-2</v>
      </c>
      <c r="L8" s="13" t="s">
        <v>975</v>
      </c>
      <c r="M8" s="12" t="s">
        <v>976</v>
      </c>
    </row>
    <row r="9" spans="1:22" ht="33.75" x14ac:dyDescent="0.25">
      <c r="A9" s="10" t="s">
        <v>68</v>
      </c>
      <c r="B9" s="10">
        <v>5.2</v>
      </c>
      <c r="C9" s="8" t="s">
        <v>66</v>
      </c>
      <c r="D9" s="8" t="s">
        <v>69</v>
      </c>
      <c r="E9" s="8" t="s">
        <v>72</v>
      </c>
      <c r="F9" s="8" t="s">
        <v>73</v>
      </c>
      <c r="G9" s="42">
        <v>5.5</v>
      </c>
      <c r="H9" s="43"/>
      <c r="I9" s="89">
        <v>2</v>
      </c>
      <c r="J9" s="44">
        <f>365/7*5</f>
        <v>260.71428571428572</v>
      </c>
      <c r="K9" s="42">
        <f t="shared" si="0"/>
        <v>4.219178082191781E-2</v>
      </c>
      <c r="L9" s="8" t="s">
        <v>977</v>
      </c>
      <c r="M9" s="90" t="s">
        <v>74</v>
      </c>
    </row>
    <row r="10" spans="1:22" ht="22.5" x14ac:dyDescent="0.25">
      <c r="A10" s="10" t="s">
        <v>68</v>
      </c>
      <c r="B10" s="10">
        <v>5.2</v>
      </c>
      <c r="C10" s="8" t="s">
        <v>66</v>
      </c>
      <c r="D10" s="8" t="s">
        <v>69</v>
      </c>
      <c r="E10" s="8" t="s">
        <v>72</v>
      </c>
      <c r="F10" s="8" t="s">
        <v>73</v>
      </c>
      <c r="G10" s="42">
        <v>6</v>
      </c>
      <c r="H10" s="43"/>
      <c r="I10" s="89">
        <v>2</v>
      </c>
      <c r="J10" s="44">
        <f>365/7*5</f>
        <v>260.71428571428572</v>
      </c>
      <c r="K10" s="42">
        <f t="shared" si="0"/>
        <v>4.6027397260273974E-2</v>
      </c>
      <c r="L10" s="8" t="s">
        <v>978</v>
      </c>
      <c r="M10" s="90" t="s">
        <v>979</v>
      </c>
    </row>
    <row r="11" spans="1:22" ht="22.5" x14ac:dyDescent="0.25">
      <c r="A11" s="10" t="s">
        <v>68</v>
      </c>
      <c r="B11" s="10">
        <v>5.0999999999999996</v>
      </c>
      <c r="C11" s="8" t="s">
        <v>66</v>
      </c>
      <c r="D11" s="8" t="s">
        <v>69</v>
      </c>
      <c r="E11" s="8" t="s">
        <v>70</v>
      </c>
      <c r="F11" s="8"/>
      <c r="G11" s="42">
        <v>45</v>
      </c>
      <c r="H11" s="43">
        <v>1</v>
      </c>
      <c r="I11" s="89">
        <v>1</v>
      </c>
      <c r="J11" s="44">
        <f>365/7*10</f>
        <v>521.42857142857144</v>
      </c>
      <c r="K11" s="42">
        <f t="shared" si="0"/>
        <v>8.6301369863013691E-2</v>
      </c>
      <c r="L11" s="8"/>
      <c r="M11" s="77" t="s">
        <v>980</v>
      </c>
    </row>
    <row r="12" spans="1:22" ht="22.5" x14ac:dyDescent="0.25">
      <c r="A12" s="10" t="s">
        <v>68</v>
      </c>
      <c r="B12" s="10">
        <v>5.5</v>
      </c>
      <c r="C12" s="8" t="s">
        <v>66</v>
      </c>
      <c r="D12" s="8" t="s">
        <v>69</v>
      </c>
      <c r="E12" s="8" t="s">
        <v>71</v>
      </c>
      <c r="F12" s="8" t="s">
        <v>50</v>
      </c>
      <c r="G12" s="42">
        <v>5</v>
      </c>
      <c r="H12" s="43">
        <v>1</v>
      </c>
      <c r="I12" s="89">
        <v>1</v>
      </c>
      <c r="J12" s="44">
        <f>365/7*5</f>
        <v>260.71428571428572</v>
      </c>
      <c r="K12" s="42">
        <f t="shared" si="0"/>
        <v>1.9178082191780823E-2</v>
      </c>
      <c r="L12" s="8" t="s">
        <v>981</v>
      </c>
      <c r="M12" s="91" t="s">
        <v>982</v>
      </c>
    </row>
    <row r="13" spans="1:22" ht="22.5" x14ac:dyDescent="0.25">
      <c r="A13" s="10" t="s">
        <v>68</v>
      </c>
      <c r="B13" s="10">
        <v>5.0999999999999996</v>
      </c>
      <c r="C13" s="8" t="s">
        <v>66</v>
      </c>
      <c r="D13" s="8" t="s">
        <v>69</v>
      </c>
      <c r="E13" s="8" t="s">
        <v>191</v>
      </c>
      <c r="F13" s="8" t="s">
        <v>73</v>
      </c>
      <c r="G13" s="42">
        <v>80</v>
      </c>
      <c r="H13" s="43">
        <v>1</v>
      </c>
      <c r="I13" s="89">
        <v>1</v>
      </c>
      <c r="J13" s="44">
        <f>365/7*10</f>
        <v>521.42857142857144</v>
      </c>
      <c r="K13" s="42">
        <f t="shared" si="0"/>
        <v>0.15342465753424658</v>
      </c>
      <c r="L13" s="8"/>
      <c r="M13" s="76" t="s">
        <v>983</v>
      </c>
    </row>
    <row r="14" spans="1:22" ht="22.5" x14ac:dyDescent="0.25">
      <c r="A14" s="10" t="s">
        <v>68</v>
      </c>
      <c r="B14" s="10">
        <v>5.0999999999999996</v>
      </c>
      <c r="C14" s="8" t="s">
        <v>66</v>
      </c>
      <c r="D14" s="8" t="s">
        <v>69</v>
      </c>
      <c r="E14" s="8" t="s">
        <v>328</v>
      </c>
      <c r="F14" s="8" t="s">
        <v>984</v>
      </c>
      <c r="G14" s="42">
        <v>60</v>
      </c>
      <c r="H14" s="43">
        <v>1</v>
      </c>
      <c r="I14" s="89">
        <v>1</v>
      </c>
      <c r="J14" s="44">
        <f>365/7*25</f>
        <v>1303.5714285714287</v>
      </c>
      <c r="K14" s="42">
        <f t="shared" si="0"/>
        <v>4.6027397260273967E-2</v>
      </c>
      <c r="L14" s="8"/>
      <c r="M14" s="76" t="s">
        <v>985</v>
      </c>
    </row>
    <row r="15" spans="1:22" x14ac:dyDescent="0.25">
      <c r="A15" s="10" t="s">
        <v>68</v>
      </c>
      <c r="B15" s="10">
        <v>5.5</v>
      </c>
      <c r="C15" s="8" t="s">
        <v>66</v>
      </c>
      <c r="D15" s="8" t="s">
        <v>69</v>
      </c>
      <c r="E15" s="8" t="s">
        <v>190</v>
      </c>
      <c r="F15" s="8" t="s">
        <v>905</v>
      </c>
      <c r="G15" s="42">
        <v>15.762942779291555</v>
      </c>
      <c r="H15" s="43">
        <v>6</v>
      </c>
      <c r="I15" s="89">
        <v>1</v>
      </c>
      <c r="J15" s="44">
        <f>365/7*20</f>
        <v>1042.8571428571429</v>
      </c>
      <c r="K15" s="42">
        <f t="shared" si="0"/>
        <v>1.5115150610279572E-2</v>
      </c>
      <c r="L15" s="8"/>
      <c r="M15" s="76" t="s">
        <v>986</v>
      </c>
    </row>
    <row r="16" spans="1:22" ht="22.5" x14ac:dyDescent="0.25">
      <c r="A16" s="10" t="s">
        <v>68</v>
      </c>
      <c r="B16" s="10">
        <v>5.0999999999999996</v>
      </c>
      <c r="C16" s="8" t="s">
        <v>66</v>
      </c>
      <c r="D16" s="8" t="s">
        <v>76</v>
      </c>
      <c r="E16" s="8" t="s">
        <v>70</v>
      </c>
      <c r="F16" s="8"/>
      <c r="G16" s="42">
        <v>45</v>
      </c>
      <c r="H16" s="43">
        <v>1</v>
      </c>
      <c r="I16" s="89">
        <v>1</v>
      </c>
      <c r="J16" s="44">
        <f>365/7*10</f>
        <v>521.42857142857144</v>
      </c>
      <c r="K16" s="42">
        <f t="shared" si="0"/>
        <v>8.6301369863013691E-2</v>
      </c>
      <c r="L16" s="8"/>
      <c r="M16" s="77" t="s">
        <v>980</v>
      </c>
    </row>
    <row r="17" spans="1:13" ht="22.5" x14ac:dyDescent="0.25">
      <c r="A17" s="10" t="s">
        <v>68</v>
      </c>
      <c r="B17" s="10">
        <v>5.5</v>
      </c>
      <c r="C17" s="8" t="s">
        <v>66</v>
      </c>
      <c r="D17" s="8" t="s">
        <v>76</v>
      </c>
      <c r="E17" s="8" t="s">
        <v>71</v>
      </c>
      <c r="F17" s="8" t="s">
        <v>50</v>
      </c>
      <c r="G17" s="42">
        <v>5</v>
      </c>
      <c r="H17" s="43">
        <v>1</v>
      </c>
      <c r="I17" s="89">
        <v>1</v>
      </c>
      <c r="J17" s="44">
        <f>365/7*5</f>
        <v>260.71428571428572</v>
      </c>
      <c r="K17" s="42">
        <f t="shared" si="0"/>
        <v>1.9178082191780823E-2</v>
      </c>
      <c r="L17" s="8" t="s">
        <v>981</v>
      </c>
      <c r="M17" s="91" t="s">
        <v>982</v>
      </c>
    </row>
    <row r="18" spans="1:13" x14ac:dyDescent="0.25">
      <c r="A18" s="10" t="s">
        <v>68</v>
      </c>
      <c r="B18" s="10">
        <v>5.2</v>
      </c>
      <c r="C18" s="8" t="s">
        <v>66</v>
      </c>
      <c r="D18" s="8" t="s">
        <v>76</v>
      </c>
      <c r="E18" s="8" t="s">
        <v>77</v>
      </c>
      <c r="F18" s="10"/>
      <c r="G18" s="42">
        <v>150</v>
      </c>
      <c r="H18" s="43">
        <v>1</v>
      </c>
      <c r="I18" s="43">
        <v>1</v>
      </c>
      <c r="J18" s="44">
        <f>365/7*10</f>
        <v>521.42857142857144</v>
      </c>
      <c r="K18" s="42">
        <f t="shared" si="0"/>
        <v>0.28767123287671231</v>
      </c>
      <c r="L18" s="8"/>
      <c r="M18" s="8" t="s">
        <v>987</v>
      </c>
    </row>
    <row r="19" spans="1:13" ht="22.5" x14ac:dyDescent="0.25">
      <c r="A19" s="10" t="s">
        <v>68</v>
      </c>
      <c r="B19" s="10">
        <v>5.0999999999999996</v>
      </c>
      <c r="C19" s="8" t="s">
        <v>66</v>
      </c>
      <c r="D19" s="8" t="s">
        <v>76</v>
      </c>
      <c r="E19" s="77" t="s">
        <v>79</v>
      </c>
      <c r="F19" s="92" t="s">
        <v>183</v>
      </c>
      <c r="G19" s="58">
        <v>749</v>
      </c>
      <c r="H19" s="77">
        <v>1</v>
      </c>
      <c r="I19" s="93">
        <v>1</v>
      </c>
      <c r="J19" s="44">
        <f>365/7*10</f>
        <v>521.42857142857144</v>
      </c>
      <c r="K19" s="42">
        <f t="shared" si="0"/>
        <v>1.4364383561643834</v>
      </c>
      <c r="L19" s="61" t="s">
        <v>988</v>
      </c>
      <c r="M19" s="8" t="s">
        <v>989</v>
      </c>
    </row>
    <row r="20" spans="1:13" ht="22.5" x14ac:dyDescent="0.25">
      <c r="A20" s="10" t="s">
        <v>68</v>
      </c>
      <c r="B20" s="10">
        <v>5.0999999999999996</v>
      </c>
      <c r="C20" s="8" t="s">
        <v>66</v>
      </c>
      <c r="D20" s="8" t="s">
        <v>990</v>
      </c>
      <c r="E20" s="61" t="s">
        <v>991</v>
      </c>
      <c r="F20" s="94" t="s">
        <v>183</v>
      </c>
      <c r="G20" s="95">
        <v>799</v>
      </c>
      <c r="H20" s="61">
        <v>1</v>
      </c>
      <c r="I20" s="96">
        <v>1</v>
      </c>
      <c r="J20" s="97">
        <f>365/7*10</f>
        <v>521.42857142857144</v>
      </c>
      <c r="K20" s="42">
        <f t="shared" si="0"/>
        <v>1.5323287671232877</v>
      </c>
      <c r="L20" s="61" t="s">
        <v>988</v>
      </c>
      <c r="M20" s="8" t="s">
        <v>992</v>
      </c>
    </row>
    <row r="21" spans="1:13" x14ac:dyDescent="0.25">
      <c r="A21" s="10" t="s">
        <v>68</v>
      </c>
      <c r="B21" s="10">
        <v>5.2</v>
      </c>
      <c r="C21" s="8" t="s">
        <v>66</v>
      </c>
      <c r="D21" s="8" t="s">
        <v>76</v>
      </c>
      <c r="E21" s="61" t="s">
        <v>80</v>
      </c>
      <c r="F21" s="94" t="s">
        <v>78</v>
      </c>
      <c r="G21" s="95">
        <v>12</v>
      </c>
      <c r="H21" s="61">
        <v>1</v>
      </c>
      <c r="I21" s="96">
        <v>5</v>
      </c>
      <c r="J21" s="98">
        <f>365/7*2</f>
        <v>104.28571428571429</v>
      </c>
      <c r="K21" s="42">
        <f t="shared" si="0"/>
        <v>0.57534246575342463</v>
      </c>
      <c r="L21" s="77" t="s">
        <v>993</v>
      </c>
      <c r="M21" s="8" t="s">
        <v>994</v>
      </c>
    </row>
    <row r="22" spans="1:13" ht="56.25" x14ac:dyDescent="0.25">
      <c r="A22" s="10" t="s">
        <v>68</v>
      </c>
      <c r="B22" s="10">
        <v>5.0999999999999996</v>
      </c>
      <c r="C22" s="8" t="s">
        <v>66</v>
      </c>
      <c r="D22" s="8" t="s">
        <v>76</v>
      </c>
      <c r="E22" s="61" t="s">
        <v>192</v>
      </c>
      <c r="F22" s="94" t="s">
        <v>73</v>
      </c>
      <c r="G22" s="95">
        <v>97.570093457943912</v>
      </c>
      <c r="H22" s="61">
        <v>3</v>
      </c>
      <c r="I22" s="96">
        <v>1</v>
      </c>
      <c r="J22" s="98">
        <f>365/7*20</f>
        <v>1042.8571428571429</v>
      </c>
      <c r="K22" s="42">
        <f t="shared" si="0"/>
        <v>9.3560363589809223E-2</v>
      </c>
      <c r="L22" s="61" t="s">
        <v>193</v>
      </c>
      <c r="M22" s="8" t="s">
        <v>194</v>
      </c>
    </row>
    <row r="23" spans="1:13" ht="45" x14ac:dyDescent="0.25">
      <c r="A23" s="10" t="s">
        <v>68</v>
      </c>
      <c r="B23" s="10">
        <v>5.0999999999999996</v>
      </c>
      <c r="C23" s="8" t="s">
        <v>66</v>
      </c>
      <c r="D23" s="8" t="s">
        <v>76</v>
      </c>
      <c r="E23" s="61" t="s">
        <v>195</v>
      </c>
      <c r="F23" s="94" t="s">
        <v>73</v>
      </c>
      <c r="G23" s="95">
        <v>70.467289719626166</v>
      </c>
      <c r="H23" s="61">
        <v>1</v>
      </c>
      <c r="I23" s="96">
        <v>1</v>
      </c>
      <c r="J23" s="98">
        <f>365/7*20</f>
        <v>1042.8571428571429</v>
      </c>
      <c r="K23" s="42">
        <f t="shared" si="0"/>
        <v>6.7571373703751117E-2</v>
      </c>
      <c r="L23" s="77" t="s">
        <v>995</v>
      </c>
      <c r="M23" s="90" t="s">
        <v>196</v>
      </c>
    </row>
    <row r="24" spans="1:13" ht="33.75" x14ac:dyDescent="0.25">
      <c r="A24" s="10" t="s">
        <v>68</v>
      </c>
      <c r="B24" s="10">
        <v>5.0999999999999996</v>
      </c>
      <c r="C24" s="8" t="s">
        <v>66</v>
      </c>
      <c r="D24" s="8" t="s">
        <v>76</v>
      </c>
      <c r="E24" s="61" t="s">
        <v>81</v>
      </c>
      <c r="F24" s="94" t="s">
        <v>78</v>
      </c>
      <c r="G24" s="95">
        <v>183.21495327102801</v>
      </c>
      <c r="H24" s="61">
        <v>1</v>
      </c>
      <c r="I24" s="99">
        <v>1</v>
      </c>
      <c r="J24" s="98">
        <f>365/7*20</f>
        <v>1042.8571428571429</v>
      </c>
      <c r="K24" s="42">
        <f t="shared" si="0"/>
        <v>0.17568557162975287</v>
      </c>
      <c r="L24" s="61" t="s">
        <v>996</v>
      </c>
      <c r="M24" s="76" t="s">
        <v>197</v>
      </c>
    </row>
    <row r="25" spans="1:13" x14ac:dyDescent="0.25">
      <c r="A25" s="10" t="s">
        <v>68</v>
      </c>
      <c r="B25" s="10">
        <v>5.0999999999999996</v>
      </c>
      <c r="C25" s="8" t="s">
        <v>66</v>
      </c>
      <c r="D25" s="8" t="s">
        <v>76</v>
      </c>
      <c r="E25" s="61" t="s">
        <v>84</v>
      </c>
      <c r="F25" s="94"/>
      <c r="G25" s="95">
        <v>260</v>
      </c>
      <c r="H25" s="61"/>
      <c r="I25" s="96">
        <v>1</v>
      </c>
      <c r="J25" s="97">
        <f>365/7</f>
        <v>52.142857142857146</v>
      </c>
      <c r="K25" s="42">
        <f t="shared" si="0"/>
        <v>4.9863013698630132</v>
      </c>
      <c r="L25" s="61" t="s">
        <v>997</v>
      </c>
      <c r="M25" s="61"/>
    </row>
    <row r="26" spans="1:13" x14ac:dyDescent="0.25">
      <c r="A26" s="10" t="s">
        <v>68</v>
      </c>
      <c r="B26" s="10">
        <v>5.0999999999999996</v>
      </c>
      <c r="C26" s="8" t="s">
        <v>66</v>
      </c>
      <c r="D26" s="8" t="s">
        <v>76</v>
      </c>
      <c r="E26" s="61" t="s">
        <v>198</v>
      </c>
      <c r="F26" s="92" t="s">
        <v>984</v>
      </c>
      <c r="G26" s="58">
        <v>19</v>
      </c>
      <c r="H26" s="77">
        <v>1</v>
      </c>
      <c r="I26" s="93">
        <v>1</v>
      </c>
      <c r="J26" s="60">
        <f>365/7*5</f>
        <v>260.71428571428572</v>
      </c>
      <c r="K26" s="42">
        <f t="shared" si="0"/>
        <v>7.2876712328767121E-2</v>
      </c>
      <c r="L26" s="61" t="s">
        <v>998</v>
      </c>
      <c r="M26" s="8" t="s">
        <v>999</v>
      </c>
    </row>
    <row r="27" spans="1:13" x14ac:dyDescent="0.25">
      <c r="A27" s="10" t="s">
        <v>68</v>
      </c>
      <c r="B27" s="10">
        <v>5.0999999999999996</v>
      </c>
      <c r="C27" s="8" t="s">
        <v>66</v>
      </c>
      <c r="D27" s="8" t="s">
        <v>76</v>
      </c>
      <c r="E27" s="61" t="s">
        <v>199</v>
      </c>
      <c r="F27" s="94" t="s">
        <v>984</v>
      </c>
      <c r="G27" s="95">
        <v>32</v>
      </c>
      <c r="H27" s="61">
        <v>1</v>
      </c>
      <c r="I27" s="96">
        <v>1</v>
      </c>
      <c r="J27" s="98">
        <f>365/7*5</f>
        <v>260.71428571428572</v>
      </c>
      <c r="K27" s="42">
        <f t="shared" si="0"/>
        <v>0.12273972602739726</v>
      </c>
      <c r="L27" s="61" t="s">
        <v>1000</v>
      </c>
      <c r="M27" s="76" t="s">
        <v>1001</v>
      </c>
    </row>
    <row r="28" spans="1:13" ht="22.5" x14ac:dyDescent="0.25">
      <c r="A28" s="61" t="s">
        <v>68</v>
      </c>
      <c r="B28" s="1">
        <v>5.0999999999999996</v>
      </c>
      <c r="C28" s="8" t="s">
        <v>66</v>
      </c>
      <c r="D28" s="100" t="s">
        <v>85</v>
      </c>
      <c r="E28" s="8" t="s">
        <v>70</v>
      </c>
      <c r="F28" s="8"/>
      <c r="G28" s="42">
        <v>45</v>
      </c>
      <c r="H28" s="43">
        <v>1</v>
      </c>
      <c r="I28" s="89">
        <v>1</v>
      </c>
      <c r="J28" s="44">
        <f>365/7*10</f>
        <v>521.42857142857144</v>
      </c>
      <c r="K28" s="42">
        <f t="shared" si="0"/>
        <v>8.6301369863013691E-2</v>
      </c>
      <c r="L28" s="8"/>
      <c r="M28" s="77" t="s">
        <v>980</v>
      </c>
    </row>
    <row r="29" spans="1:13" ht="22.5" x14ac:dyDescent="0.25">
      <c r="A29" s="10" t="s">
        <v>68</v>
      </c>
      <c r="B29" s="10">
        <v>5.5</v>
      </c>
      <c r="C29" s="8" t="s">
        <v>66</v>
      </c>
      <c r="D29" s="100" t="s">
        <v>85</v>
      </c>
      <c r="E29" s="8" t="s">
        <v>71</v>
      </c>
      <c r="F29" s="8" t="s">
        <v>50</v>
      </c>
      <c r="G29" s="42">
        <v>5</v>
      </c>
      <c r="H29" s="43">
        <v>1</v>
      </c>
      <c r="I29" s="89">
        <v>1</v>
      </c>
      <c r="J29" s="44">
        <f>365/7*5</f>
        <v>260.71428571428572</v>
      </c>
      <c r="K29" s="42">
        <f t="shared" si="0"/>
        <v>1.9178082191780823E-2</v>
      </c>
      <c r="L29" s="8" t="s">
        <v>981</v>
      </c>
      <c r="M29" s="91" t="s">
        <v>982</v>
      </c>
    </row>
    <row r="30" spans="1:13" x14ac:dyDescent="0.25">
      <c r="A30" s="61" t="s">
        <v>68</v>
      </c>
      <c r="B30" s="1">
        <v>5.2</v>
      </c>
      <c r="C30" s="8" t="s">
        <v>66</v>
      </c>
      <c r="D30" s="100" t="s">
        <v>85</v>
      </c>
      <c r="E30" s="8" t="s">
        <v>77</v>
      </c>
      <c r="F30" s="10"/>
      <c r="G30" s="42">
        <v>150</v>
      </c>
      <c r="H30" s="43">
        <v>1</v>
      </c>
      <c r="I30" s="43">
        <v>1</v>
      </c>
      <c r="J30" s="44">
        <f>365/7*10</f>
        <v>521.42857142857144</v>
      </c>
      <c r="K30" s="42">
        <f t="shared" si="0"/>
        <v>0.28767123287671231</v>
      </c>
      <c r="L30" s="8"/>
      <c r="M30" s="8" t="s">
        <v>987</v>
      </c>
    </row>
    <row r="31" spans="1:13" ht="22.5" x14ac:dyDescent="0.25">
      <c r="A31" s="61" t="s">
        <v>68</v>
      </c>
      <c r="B31" s="1">
        <v>5.0999999999999996</v>
      </c>
      <c r="C31" s="8" t="s">
        <v>66</v>
      </c>
      <c r="D31" s="61" t="s">
        <v>85</v>
      </c>
      <c r="E31" s="77" t="s">
        <v>200</v>
      </c>
      <c r="F31" s="77" t="s">
        <v>984</v>
      </c>
      <c r="G31" s="92">
        <v>749</v>
      </c>
      <c r="H31" s="77">
        <v>1</v>
      </c>
      <c r="I31" s="77">
        <v>1</v>
      </c>
      <c r="J31" s="60">
        <f>365/7*10</f>
        <v>521.42857142857144</v>
      </c>
      <c r="K31" s="42">
        <f t="shared" si="0"/>
        <v>1.4364383561643834</v>
      </c>
      <c r="L31" s="61" t="s">
        <v>1002</v>
      </c>
      <c r="M31" s="77" t="s">
        <v>1003</v>
      </c>
    </row>
    <row r="32" spans="1:13" x14ac:dyDescent="0.25">
      <c r="A32" s="10" t="s">
        <v>68</v>
      </c>
      <c r="B32" s="10">
        <v>5.0999999999999996</v>
      </c>
      <c r="C32" s="8" t="s">
        <v>66</v>
      </c>
      <c r="D32" s="61" t="s">
        <v>85</v>
      </c>
      <c r="E32" s="61" t="s">
        <v>86</v>
      </c>
      <c r="F32" s="61" t="s">
        <v>78</v>
      </c>
      <c r="G32" s="94">
        <v>20</v>
      </c>
      <c r="H32" s="61">
        <v>4</v>
      </c>
      <c r="I32" s="99">
        <v>2</v>
      </c>
      <c r="J32" s="97">
        <f>365/7*25</f>
        <v>1303.5714285714287</v>
      </c>
      <c r="K32" s="42">
        <f t="shared" si="0"/>
        <v>3.0684931506849311E-2</v>
      </c>
      <c r="L32" s="61" t="s">
        <v>1004</v>
      </c>
      <c r="M32" s="77" t="s">
        <v>1005</v>
      </c>
    </row>
    <row r="33" spans="1:13" x14ac:dyDescent="0.25">
      <c r="A33" s="61" t="s">
        <v>68</v>
      </c>
      <c r="B33" s="1">
        <v>5.0999999999999996</v>
      </c>
      <c r="C33" s="8" t="s">
        <v>66</v>
      </c>
      <c r="D33" s="61" t="s">
        <v>85</v>
      </c>
      <c r="E33" s="61" t="s">
        <v>87</v>
      </c>
      <c r="F33" s="61" t="s">
        <v>78</v>
      </c>
      <c r="G33" s="94">
        <v>6</v>
      </c>
      <c r="H33" s="61">
        <v>4</v>
      </c>
      <c r="I33" s="99">
        <v>2</v>
      </c>
      <c r="J33" s="97">
        <f>365/7*25</f>
        <v>1303.5714285714287</v>
      </c>
      <c r="K33" s="42">
        <f t="shared" si="0"/>
        <v>9.2054794520547937E-3</v>
      </c>
      <c r="L33" s="61" t="s">
        <v>1006</v>
      </c>
      <c r="M33" s="76" t="s">
        <v>1007</v>
      </c>
    </row>
    <row r="34" spans="1:13" ht="22.5" x14ac:dyDescent="0.25">
      <c r="A34" s="10" t="s">
        <v>68</v>
      </c>
      <c r="B34" s="10">
        <v>5.5</v>
      </c>
      <c r="C34" s="8" t="s">
        <v>66</v>
      </c>
      <c r="D34" s="100" t="s">
        <v>88</v>
      </c>
      <c r="E34" s="8" t="s">
        <v>71</v>
      </c>
      <c r="F34" s="8" t="s">
        <v>50</v>
      </c>
      <c r="G34" s="42">
        <v>5</v>
      </c>
      <c r="H34" s="43">
        <v>1</v>
      </c>
      <c r="I34" s="89">
        <v>1</v>
      </c>
      <c r="J34" s="44">
        <f>365/7*5</f>
        <v>260.71428571428572</v>
      </c>
      <c r="K34" s="42">
        <f t="shared" si="0"/>
        <v>1.9178082191780823E-2</v>
      </c>
      <c r="L34" s="8" t="s">
        <v>981</v>
      </c>
      <c r="M34" s="91" t="s">
        <v>982</v>
      </c>
    </row>
    <row r="35" spans="1:13" ht="22.5" x14ac:dyDescent="0.25">
      <c r="A35" s="10" t="s">
        <v>68</v>
      </c>
      <c r="B35" s="10">
        <v>5.0999999999999996</v>
      </c>
      <c r="C35" s="8" t="s">
        <v>66</v>
      </c>
      <c r="D35" s="100" t="s">
        <v>88</v>
      </c>
      <c r="E35" s="8" t="s">
        <v>1008</v>
      </c>
      <c r="F35" s="8"/>
      <c r="G35" s="42">
        <v>0</v>
      </c>
      <c r="H35" s="43"/>
      <c r="I35" s="89"/>
      <c r="J35" s="44"/>
      <c r="K35" s="42">
        <v>0</v>
      </c>
      <c r="L35" s="8" t="s">
        <v>1009</v>
      </c>
      <c r="M35" s="91"/>
    </row>
    <row r="36" spans="1:13" ht="33.75" x14ac:dyDescent="0.25">
      <c r="A36" s="61" t="s">
        <v>68</v>
      </c>
      <c r="B36" s="1">
        <v>5.0999999999999996</v>
      </c>
      <c r="C36" s="8" t="s">
        <v>66</v>
      </c>
      <c r="D36" s="100" t="s">
        <v>88</v>
      </c>
      <c r="E36" s="8" t="s">
        <v>89</v>
      </c>
      <c r="F36" s="8" t="s">
        <v>73</v>
      </c>
      <c r="G36" s="95">
        <v>15.177570093457943</v>
      </c>
      <c r="H36" s="43">
        <v>1</v>
      </c>
      <c r="I36" s="43">
        <v>1</v>
      </c>
      <c r="J36" s="44">
        <f>365/7*5</f>
        <v>260.71428571428572</v>
      </c>
      <c r="K36" s="42">
        <f t="shared" ref="K36:K67" si="1">G36*I36/J36</f>
        <v>5.8215337344770191E-2</v>
      </c>
      <c r="L36" s="8" t="s">
        <v>201</v>
      </c>
      <c r="M36" s="8" t="s">
        <v>90</v>
      </c>
    </row>
    <row r="37" spans="1:13" ht="56.25" x14ac:dyDescent="0.25">
      <c r="A37" s="10" t="s">
        <v>68</v>
      </c>
      <c r="B37" s="10">
        <v>5.4</v>
      </c>
      <c r="C37" s="8" t="s">
        <v>66</v>
      </c>
      <c r="D37" s="61" t="s">
        <v>91</v>
      </c>
      <c r="E37" s="61" t="s">
        <v>92</v>
      </c>
      <c r="F37" s="92" t="s">
        <v>50</v>
      </c>
      <c r="G37" s="92">
        <v>10.275482093663912</v>
      </c>
      <c r="H37" s="77">
        <v>12</v>
      </c>
      <c r="I37" s="101">
        <v>2</v>
      </c>
      <c r="J37" s="102">
        <f>365/7*5</f>
        <v>260.71428571428572</v>
      </c>
      <c r="K37" s="42">
        <f t="shared" si="1"/>
        <v>7.8825616060983442E-2</v>
      </c>
      <c r="L37" s="61" t="s">
        <v>1010</v>
      </c>
      <c r="M37" s="8" t="s">
        <v>202</v>
      </c>
    </row>
    <row r="38" spans="1:13" ht="33.75" x14ac:dyDescent="0.25">
      <c r="A38" s="10" t="s">
        <v>68</v>
      </c>
      <c r="B38" s="10">
        <v>5.4</v>
      </c>
      <c r="C38" s="8" t="s">
        <v>66</v>
      </c>
      <c r="D38" s="61" t="s">
        <v>91</v>
      </c>
      <c r="E38" s="61" t="s">
        <v>93</v>
      </c>
      <c r="F38" s="92" t="s">
        <v>50</v>
      </c>
      <c r="G38" s="92">
        <v>5.1377410468319562</v>
      </c>
      <c r="H38" s="77">
        <v>4</v>
      </c>
      <c r="I38" s="101">
        <v>2</v>
      </c>
      <c r="J38" s="102">
        <f>365/7*5</f>
        <v>260.71428571428572</v>
      </c>
      <c r="K38" s="42">
        <f t="shared" si="1"/>
        <v>3.9412808030491721E-2</v>
      </c>
      <c r="L38" s="61" t="s">
        <v>1011</v>
      </c>
      <c r="M38" s="77" t="s">
        <v>203</v>
      </c>
    </row>
    <row r="39" spans="1:13" ht="22.5" x14ac:dyDescent="0.25">
      <c r="A39" s="10" t="s">
        <v>68</v>
      </c>
      <c r="B39" s="10">
        <v>5.4</v>
      </c>
      <c r="C39" s="8" t="s">
        <v>66</v>
      </c>
      <c r="D39" s="61" t="s">
        <v>91</v>
      </c>
      <c r="E39" s="61" t="s">
        <v>94</v>
      </c>
      <c r="F39" s="92" t="s">
        <v>1012</v>
      </c>
      <c r="G39" s="92">
        <v>38</v>
      </c>
      <c r="H39" s="77">
        <v>32</v>
      </c>
      <c r="I39" s="101">
        <v>1</v>
      </c>
      <c r="J39" s="102">
        <f>25*(365/7)</f>
        <v>1303.5714285714287</v>
      </c>
      <c r="K39" s="42">
        <f t="shared" si="1"/>
        <v>2.9150684931506847E-2</v>
      </c>
      <c r="L39" s="61" t="s">
        <v>1013</v>
      </c>
      <c r="M39" s="76" t="s">
        <v>1014</v>
      </c>
    </row>
    <row r="40" spans="1:13" ht="33.75" x14ac:dyDescent="0.25">
      <c r="A40" s="10" t="s">
        <v>68</v>
      </c>
      <c r="B40" s="10">
        <v>5.4</v>
      </c>
      <c r="C40" s="8" t="s">
        <v>66</v>
      </c>
      <c r="D40" s="77" t="s">
        <v>91</v>
      </c>
      <c r="E40" s="77" t="s">
        <v>95</v>
      </c>
      <c r="F40" s="92" t="s">
        <v>21</v>
      </c>
      <c r="G40" s="92">
        <v>2.5688705234159781</v>
      </c>
      <c r="H40" s="77">
        <v>2</v>
      </c>
      <c r="I40" s="101">
        <v>1</v>
      </c>
      <c r="J40" s="60">
        <f>365/7*20</f>
        <v>1042.8571428571429</v>
      </c>
      <c r="K40" s="42">
        <f t="shared" si="1"/>
        <v>2.4633005019057326E-3</v>
      </c>
      <c r="L40" s="77" t="s">
        <v>204</v>
      </c>
      <c r="M40" s="77" t="s">
        <v>205</v>
      </c>
    </row>
    <row r="41" spans="1:13" ht="22.5" x14ac:dyDescent="0.25">
      <c r="A41" s="10" t="s">
        <v>68</v>
      </c>
      <c r="B41" s="10">
        <v>5.4</v>
      </c>
      <c r="C41" s="8" t="s">
        <v>66</v>
      </c>
      <c r="D41" s="61" t="s">
        <v>91</v>
      </c>
      <c r="E41" s="77" t="s">
        <v>206</v>
      </c>
      <c r="F41" s="92" t="s">
        <v>984</v>
      </c>
      <c r="G41" s="58">
        <v>2</v>
      </c>
      <c r="H41" s="77">
        <v>1</v>
      </c>
      <c r="I41" s="93">
        <v>8</v>
      </c>
      <c r="J41" s="102">
        <f>365/7*2</f>
        <v>104.28571428571429</v>
      </c>
      <c r="K41" s="42">
        <f t="shared" si="1"/>
        <v>0.15342465753424656</v>
      </c>
      <c r="L41" s="61" t="s">
        <v>1015</v>
      </c>
      <c r="M41" s="32" t="s">
        <v>1016</v>
      </c>
    </row>
    <row r="42" spans="1:13" ht="22.5" x14ac:dyDescent="0.25">
      <c r="A42" s="10" t="s">
        <v>68</v>
      </c>
      <c r="B42" s="10">
        <v>5.4</v>
      </c>
      <c r="C42" s="8" t="s">
        <v>66</v>
      </c>
      <c r="D42" s="61" t="s">
        <v>91</v>
      </c>
      <c r="E42" s="77" t="s">
        <v>97</v>
      </c>
      <c r="F42" s="92" t="s">
        <v>984</v>
      </c>
      <c r="G42" s="58">
        <v>2.5</v>
      </c>
      <c r="H42" s="77">
        <v>1</v>
      </c>
      <c r="I42" s="93">
        <v>8</v>
      </c>
      <c r="J42" s="102">
        <f>365/7*2</f>
        <v>104.28571428571429</v>
      </c>
      <c r="K42" s="42">
        <f t="shared" si="1"/>
        <v>0.19178082191780821</v>
      </c>
      <c r="L42" s="61" t="s">
        <v>1017</v>
      </c>
      <c r="M42" s="8" t="s">
        <v>1018</v>
      </c>
    </row>
    <row r="43" spans="1:13" ht="33.75" x14ac:dyDescent="0.25">
      <c r="A43" s="10" t="s">
        <v>68</v>
      </c>
      <c r="B43" s="10">
        <v>5.4</v>
      </c>
      <c r="C43" s="8" t="s">
        <v>66</v>
      </c>
      <c r="D43" s="61" t="s">
        <v>91</v>
      </c>
      <c r="E43" s="77" t="s">
        <v>207</v>
      </c>
      <c r="F43" s="77" t="s">
        <v>27</v>
      </c>
      <c r="G43" s="92">
        <v>4.6239669421487601</v>
      </c>
      <c r="H43" s="77">
        <v>2</v>
      </c>
      <c r="I43" s="101">
        <v>1</v>
      </c>
      <c r="J43" s="44">
        <f>365/7*20</f>
        <v>1042.8571428571429</v>
      </c>
      <c r="K43" s="42">
        <f t="shared" si="1"/>
        <v>4.4339409034303175E-3</v>
      </c>
      <c r="L43" s="61" t="s">
        <v>1019</v>
      </c>
      <c r="M43" s="10" t="s">
        <v>98</v>
      </c>
    </row>
    <row r="44" spans="1:13" ht="33.75" x14ac:dyDescent="0.25">
      <c r="A44" s="61" t="s">
        <v>68</v>
      </c>
      <c r="B44" s="1">
        <v>5.4</v>
      </c>
      <c r="C44" s="8" t="s">
        <v>66</v>
      </c>
      <c r="D44" s="61" t="s">
        <v>85</v>
      </c>
      <c r="E44" s="77" t="s">
        <v>208</v>
      </c>
      <c r="F44" s="92" t="s">
        <v>21</v>
      </c>
      <c r="G44" s="92">
        <v>3.5964187327823693</v>
      </c>
      <c r="H44" s="77">
        <v>1</v>
      </c>
      <c r="I44" s="101">
        <v>1</v>
      </c>
      <c r="J44" s="60">
        <f>365/7*20</f>
        <v>1042.8571428571429</v>
      </c>
      <c r="K44" s="42">
        <f t="shared" si="1"/>
        <v>3.4486207026680252E-3</v>
      </c>
      <c r="L44" s="77" t="s">
        <v>1020</v>
      </c>
      <c r="M44" s="77" t="s">
        <v>209</v>
      </c>
    </row>
    <row r="45" spans="1:13" ht="22.5" x14ac:dyDescent="0.25">
      <c r="A45" s="61" t="s">
        <v>68</v>
      </c>
      <c r="B45" s="1">
        <v>5.6</v>
      </c>
      <c r="C45" s="8" t="s">
        <v>66</v>
      </c>
      <c r="D45" s="61" t="s">
        <v>85</v>
      </c>
      <c r="E45" s="77" t="s">
        <v>210</v>
      </c>
      <c r="F45" s="92" t="s">
        <v>28</v>
      </c>
      <c r="G45" s="92">
        <v>1.1294326241134753</v>
      </c>
      <c r="H45" s="77">
        <v>50</v>
      </c>
      <c r="I45" s="101">
        <v>2</v>
      </c>
      <c r="J45" s="60">
        <f>365/7</f>
        <v>52.142857142857146</v>
      </c>
      <c r="K45" s="42">
        <f t="shared" si="1"/>
        <v>4.3320703390653845E-2</v>
      </c>
      <c r="L45" s="61" t="s">
        <v>1021</v>
      </c>
      <c r="M45" s="103" t="s">
        <v>211</v>
      </c>
    </row>
    <row r="46" spans="1:13" ht="22.5" x14ac:dyDescent="0.25">
      <c r="A46" s="10" t="s">
        <v>68</v>
      </c>
      <c r="B46" s="10">
        <v>5.3</v>
      </c>
      <c r="C46" s="8" t="s">
        <v>66</v>
      </c>
      <c r="D46" s="61" t="s">
        <v>99</v>
      </c>
      <c r="E46" s="77" t="s">
        <v>100</v>
      </c>
      <c r="F46" s="92" t="s">
        <v>50</v>
      </c>
      <c r="G46" s="58">
        <v>70</v>
      </c>
      <c r="H46" s="93">
        <v>1</v>
      </c>
      <c r="I46" s="43">
        <v>1</v>
      </c>
      <c r="J46" s="60">
        <f>365/7*5</f>
        <v>260.71428571428572</v>
      </c>
      <c r="K46" s="42">
        <f t="shared" si="1"/>
        <v>0.26849315068493151</v>
      </c>
      <c r="L46" s="61" t="s">
        <v>1022</v>
      </c>
      <c r="M46" s="8" t="s">
        <v>1023</v>
      </c>
    </row>
    <row r="47" spans="1:13" ht="22.5" x14ac:dyDescent="0.25">
      <c r="A47" s="10" t="s">
        <v>68</v>
      </c>
      <c r="B47" s="10">
        <v>5.3</v>
      </c>
      <c r="C47" s="8" t="s">
        <v>66</v>
      </c>
      <c r="D47" s="61" t="s">
        <v>99</v>
      </c>
      <c r="E47" s="61" t="s">
        <v>101</v>
      </c>
      <c r="F47" s="94" t="s">
        <v>212</v>
      </c>
      <c r="G47" s="58">
        <v>378.06721991701244</v>
      </c>
      <c r="H47" s="61">
        <v>1</v>
      </c>
      <c r="I47" s="98">
        <v>1</v>
      </c>
      <c r="J47" s="98">
        <f>365/7*10</f>
        <v>521.42857142857144</v>
      </c>
      <c r="K47" s="42">
        <f t="shared" si="1"/>
        <v>0.72506042175865393</v>
      </c>
      <c r="L47" s="61" t="s">
        <v>1024</v>
      </c>
      <c r="M47" s="8" t="s">
        <v>213</v>
      </c>
    </row>
    <row r="48" spans="1:13" ht="90" x14ac:dyDescent="0.25">
      <c r="A48" s="10" t="s">
        <v>68</v>
      </c>
      <c r="B48" s="10">
        <v>5.3</v>
      </c>
      <c r="C48" s="8" t="s">
        <v>66</v>
      </c>
      <c r="D48" s="1" t="s">
        <v>99</v>
      </c>
      <c r="E48" s="1" t="s">
        <v>102</v>
      </c>
      <c r="F48" s="94" t="s">
        <v>212</v>
      </c>
      <c r="G48" s="58">
        <v>209.56929460580915</v>
      </c>
      <c r="H48" s="61">
        <v>1</v>
      </c>
      <c r="I48" s="98">
        <v>1</v>
      </c>
      <c r="J48" s="98">
        <f>365/7*10</f>
        <v>521.42857142857144</v>
      </c>
      <c r="K48" s="42">
        <f t="shared" si="1"/>
        <v>0.40191371568237372</v>
      </c>
      <c r="L48" s="12" t="s">
        <v>1025</v>
      </c>
      <c r="M48" s="8" t="s">
        <v>214</v>
      </c>
    </row>
    <row r="49" spans="1:13" ht="22.5" x14ac:dyDescent="0.25">
      <c r="A49" s="10" t="s">
        <v>68</v>
      </c>
      <c r="B49" s="10">
        <v>5.3</v>
      </c>
      <c r="C49" s="8" t="s">
        <v>66</v>
      </c>
      <c r="D49" s="61" t="s">
        <v>99</v>
      </c>
      <c r="E49" s="61" t="s">
        <v>103</v>
      </c>
      <c r="F49" s="94" t="s">
        <v>215</v>
      </c>
      <c r="G49" s="58">
        <v>249</v>
      </c>
      <c r="H49" s="61">
        <v>1</v>
      </c>
      <c r="I49" s="98">
        <v>1</v>
      </c>
      <c r="J49" s="98">
        <f>365/7*8</f>
        <v>417.14285714285717</v>
      </c>
      <c r="K49" s="42">
        <f t="shared" si="1"/>
        <v>0.59691780821917806</v>
      </c>
      <c r="L49" s="61" t="s">
        <v>1026</v>
      </c>
      <c r="M49" s="8" t="s">
        <v>1027</v>
      </c>
    </row>
    <row r="50" spans="1:13" ht="22.5" x14ac:dyDescent="0.25">
      <c r="A50" s="10" t="s">
        <v>68</v>
      </c>
      <c r="B50" s="10">
        <v>5.3</v>
      </c>
      <c r="C50" s="8" t="s">
        <v>66</v>
      </c>
      <c r="D50" s="61" t="s">
        <v>99</v>
      </c>
      <c r="E50" s="61" t="s">
        <v>1028</v>
      </c>
      <c r="F50" s="94" t="s">
        <v>215</v>
      </c>
      <c r="G50" s="58">
        <v>250</v>
      </c>
      <c r="H50" s="61">
        <v>1</v>
      </c>
      <c r="I50" s="98">
        <v>1</v>
      </c>
      <c r="J50" s="98">
        <f>365/7*15</f>
        <v>782.14285714285722</v>
      </c>
      <c r="K50" s="42">
        <f t="shared" si="1"/>
        <v>0.31963470319634701</v>
      </c>
      <c r="L50" s="61" t="s">
        <v>1029</v>
      </c>
      <c r="M50" s="8" t="s">
        <v>1030</v>
      </c>
    </row>
    <row r="51" spans="1:13" ht="22.5" x14ac:dyDescent="0.25">
      <c r="A51" s="10" t="s">
        <v>1031</v>
      </c>
      <c r="B51" s="10">
        <v>5.3</v>
      </c>
      <c r="C51" s="8" t="s">
        <v>66</v>
      </c>
      <c r="D51" s="61" t="s">
        <v>99</v>
      </c>
      <c r="E51" s="61" t="s">
        <v>1032</v>
      </c>
      <c r="F51" s="94" t="s">
        <v>215</v>
      </c>
      <c r="G51" s="58">
        <v>388</v>
      </c>
      <c r="H51" s="61">
        <v>1</v>
      </c>
      <c r="I51" s="98">
        <v>1</v>
      </c>
      <c r="J51" s="98">
        <f>365/7*15</f>
        <v>782.14285714285722</v>
      </c>
      <c r="K51" s="42">
        <f t="shared" si="1"/>
        <v>0.49607305936073054</v>
      </c>
      <c r="L51" s="61" t="s">
        <v>1033</v>
      </c>
      <c r="M51" s="8" t="s">
        <v>1034</v>
      </c>
    </row>
    <row r="52" spans="1:13" ht="22.5" x14ac:dyDescent="0.25">
      <c r="A52" s="10" t="s">
        <v>68</v>
      </c>
      <c r="B52" s="10">
        <v>5.3</v>
      </c>
      <c r="C52" s="8" t="s">
        <v>66</v>
      </c>
      <c r="D52" s="61" t="s">
        <v>99</v>
      </c>
      <c r="E52" s="61" t="s">
        <v>104</v>
      </c>
      <c r="F52" s="94" t="s">
        <v>50</v>
      </c>
      <c r="G52" s="95">
        <v>18</v>
      </c>
      <c r="H52" s="61">
        <v>1</v>
      </c>
      <c r="I52" s="98">
        <v>1</v>
      </c>
      <c r="J52" s="98">
        <f>365/7*6</f>
        <v>312.85714285714289</v>
      </c>
      <c r="K52" s="42">
        <f t="shared" si="1"/>
        <v>5.7534246575342458E-2</v>
      </c>
      <c r="L52" s="61" t="s">
        <v>1035</v>
      </c>
      <c r="M52" s="76" t="s">
        <v>216</v>
      </c>
    </row>
    <row r="53" spans="1:13" ht="22.5" x14ac:dyDescent="0.25">
      <c r="A53" s="10" t="s">
        <v>68</v>
      </c>
      <c r="B53" s="10">
        <v>5.3</v>
      </c>
      <c r="C53" s="8" t="s">
        <v>66</v>
      </c>
      <c r="D53" s="61" t="s">
        <v>99</v>
      </c>
      <c r="E53" s="61" t="s">
        <v>105</v>
      </c>
      <c r="F53" s="94" t="s">
        <v>50</v>
      </c>
      <c r="G53" s="95">
        <v>18</v>
      </c>
      <c r="H53" s="61">
        <v>1</v>
      </c>
      <c r="I53" s="98">
        <v>1</v>
      </c>
      <c r="J53" s="98">
        <f>365/7*6</f>
        <v>312.85714285714289</v>
      </c>
      <c r="K53" s="42">
        <f t="shared" si="1"/>
        <v>5.7534246575342458E-2</v>
      </c>
      <c r="L53" s="61" t="s">
        <v>1035</v>
      </c>
      <c r="M53" s="76" t="s">
        <v>217</v>
      </c>
    </row>
    <row r="54" spans="1:13" ht="22.5" x14ac:dyDescent="0.25">
      <c r="A54" s="10" t="s">
        <v>68</v>
      </c>
      <c r="B54" s="10">
        <v>5.3</v>
      </c>
      <c r="C54" s="8" t="s">
        <v>66</v>
      </c>
      <c r="D54" s="77" t="s">
        <v>99</v>
      </c>
      <c r="E54" s="77" t="s">
        <v>218</v>
      </c>
      <c r="F54" s="92" t="s">
        <v>50</v>
      </c>
      <c r="G54" s="58">
        <v>27</v>
      </c>
      <c r="H54" s="77">
        <v>1</v>
      </c>
      <c r="I54" s="93">
        <v>1</v>
      </c>
      <c r="J54" s="60">
        <f>365/7*10</f>
        <v>521.42857142857144</v>
      </c>
      <c r="K54" s="42">
        <f t="shared" si="1"/>
        <v>5.1780821917808216E-2</v>
      </c>
      <c r="L54" s="77" t="s">
        <v>1036</v>
      </c>
      <c r="M54" s="8" t="s">
        <v>1037</v>
      </c>
    </row>
    <row r="55" spans="1:13" ht="22.5" x14ac:dyDescent="0.25">
      <c r="A55" s="10" t="s">
        <v>68</v>
      </c>
      <c r="B55" s="10">
        <v>5.3</v>
      </c>
      <c r="C55" s="8" t="s">
        <v>66</v>
      </c>
      <c r="D55" s="77" t="s">
        <v>99</v>
      </c>
      <c r="E55" s="77" t="s">
        <v>1038</v>
      </c>
      <c r="F55" s="92" t="s">
        <v>50</v>
      </c>
      <c r="G55" s="58">
        <v>59</v>
      </c>
      <c r="H55" s="77">
        <v>1</v>
      </c>
      <c r="I55" s="93">
        <v>1</v>
      </c>
      <c r="J55" s="60">
        <f>365/7*5</f>
        <v>260.71428571428572</v>
      </c>
      <c r="K55" s="42">
        <f t="shared" si="1"/>
        <v>0.22630136986301369</v>
      </c>
      <c r="L55" s="77" t="s">
        <v>1039</v>
      </c>
      <c r="M55" s="8" t="s">
        <v>1040</v>
      </c>
    </row>
    <row r="56" spans="1:13" ht="33.75" x14ac:dyDescent="0.25">
      <c r="A56" s="15" t="s">
        <v>68</v>
      </c>
      <c r="B56" s="15">
        <v>5.3</v>
      </c>
      <c r="C56" s="8" t="s">
        <v>66</v>
      </c>
      <c r="D56" s="61" t="s">
        <v>112</v>
      </c>
      <c r="E56" s="61" t="s">
        <v>106</v>
      </c>
      <c r="F56" s="94" t="s">
        <v>96</v>
      </c>
      <c r="G56" s="58">
        <v>26.327800829875521</v>
      </c>
      <c r="H56" s="61">
        <v>1</v>
      </c>
      <c r="I56" s="97">
        <v>1</v>
      </c>
      <c r="J56" s="97">
        <f>365/7*10</f>
        <v>521.42857142857144</v>
      </c>
      <c r="K56" s="42">
        <f t="shared" si="1"/>
        <v>5.0491672824418805E-2</v>
      </c>
      <c r="L56" s="61" t="s">
        <v>1041</v>
      </c>
      <c r="M56" s="61" t="s">
        <v>107</v>
      </c>
    </row>
    <row r="57" spans="1:13" ht="45" x14ac:dyDescent="0.25">
      <c r="A57" s="10" t="s">
        <v>68</v>
      </c>
      <c r="B57" s="10">
        <v>5.4</v>
      </c>
      <c r="C57" s="8" t="s">
        <v>66</v>
      </c>
      <c r="D57" s="8" t="s">
        <v>108</v>
      </c>
      <c r="E57" s="8" t="s">
        <v>109</v>
      </c>
      <c r="F57" s="92" t="s">
        <v>50</v>
      </c>
      <c r="G57" s="58">
        <v>65</v>
      </c>
      <c r="H57" s="61">
        <v>5</v>
      </c>
      <c r="I57" s="98">
        <v>1</v>
      </c>
      <c r="J57" s="98">
        <f>365/7*8</f>
        <v>417.14285714285717</v>
      </c>
      <c r="K57" s="42">
        <f t="shared" si="1"/>
        <v>0.15582191780821916</v>
      </c>
      <c r="L57" s="61" t="s">
        <v>1042</v>
      </c>
      <c r="M57" s="77" t="s">
        <v>219</v>
      </c>
    </row>
    <row r="58" spans="1:13" ht="22.5" x14ac:dyDescent="0.25">
      <c r="A58" s="10" t="s">
        <v>68</v>
      </c>
      <c r="B58" s="10">
        <v>5.4</v>
      </c>
      <c r="C58" s="8" t="s">
        <v>66</v>
      </c>
      <c r="D58" s="8" t="s">
        <v>108</v>
      </c>
      <c r="E58" s="8" t="s">
        <v>110</v>
      </c>
      <c r="F58" s="61" t="s">
        <v>50</v>
      </c>
      <c r="G58" s="92">
        <v>0</v>
      </c>
      <c r="H58" s="61">
        <v>2</v>
      </c>
      <c r="I58" s="96">
        <v>1</v>
      </c>
      <c r="J58" s="98">
        <f>365/7*8</f>
        <v>417.14285714285717</v>
      </c>
      <c r="K58" s="42">
        <f t="shared" si="1"/>
        <v>0</v>
      </c>
      <c r="L58" s="61" t="s">
        <v>1043</v>
      </c>
      <c r="M58" s="61" t="s">
        <v>795</v>
      </c>
    </row>
    <row r="59" spans="1:13" ht="33.75" x14ac:dyDescent="0.25">
      <c r="A59" s="15" t="s">
        <v>68</v>
      </c>
      <c r="B59" s="15">
        <v>5.4</v>
      </c>
      <c r="C59" s="8" t="s">
        <v>66</v>
      </c>
      <c r="D59" s="61" t="s">
        <v>108</v>
      </c>
      <c r="E59" s="61" t="s">
        <v>111</v>
      </c>
      <c r="F59" s="94" t="s">
        <v>73</v>
      </c>
      <c r="G59" s="92">
        <v>46.239669421487605</v>
      </c>
      <c r="H59" s="61">
        <v>5</v>
      </c>
      <c r="I59" s="104">
        <v>1</v>
      </c>
      <c r="J59" s="98">
        <f>365/7*15</f>
        <v>782.14285714285722</v>
      </c>
      <c r="K59" s="42">
        <f t="shared" si="1"/>
        <v>5.9119212045737571E-2</v>
      </c>
      <c r="L59" s="61" t="s">
        <v>1044</v>
      </c>
      <c r="M59" s="8" t="s">
        <v>220</v>
      </c>
    </row>
    <row r="60" spans="1:13" ht="22.5" x14ac:dyDescent="0.25">
      <c r="A60" s="15" t="s">
        <v>68</v>
      </c>
      <c r="B60" s="15">
        <v>5.4</v>
      </c>
      <c r="C60" s="8" t="s">
        <v>66</v>
      </c>
      <c r="D60" s="61" t="s">
        <v>108</v>
      </c>
      <c r="E60" s="77" t="s">
        <v>221</v>
      </c>
      <c r="F60" s="92" t="s">
        <v>50</v>
      </c>
      <c r="G60" s="58">
        <v>10</v>
      </c>
      <c r="H60" s="77">
        <v>1</v>
      </c>
      <c r="I60" s="59">
        <v>1</v>
      </c>
      <c r="J60" s="102">
        <f>365/7*15</f>
        <v>782.14285714285722</v>
      </c>
      <c r="K60" s="42">
        <f t="shared" si="1"/>
        <v>1.278538812785388E-2</v>
      </c>
      <c r="L60" s="77" t="s">
        <v>222</v>
      </c>
      <c r="M60" s="105" t="s">
        <v>1045</v>
      </c>
    </row>
    <row r="61" spans="1:13" x14ac:dyDescent="0.25">
      <c r="A61" s="61" t="s">
        <v>68</v>
      </c>
      <c r="B61" s="10">
        <v>5.4</v>
      </c>
      <c r="C61" s="8" t="s">
        <v>66</v>
      </c>
      <c r="D61" s="61" t="s">
        <v>108</v>
      </c>
      <c r="E61" s="77" t="s">
        <v>223</v>
      </c>
      <c r="F61" s="92" t="s">
        <v>78</v>
      </c>
      <c r="G61" s="58">
        <v>10</v>
      </c>
      <c r="H61" s="77">
        <v>1</v>
      </c>
      <c r="I61" s="59">
        <v>3</v>
      </c>
      <c r="J61" s="102">
        <f>365/7*5</f>
        <v>260.71428571428572</v>
      </c>
      <c r="K61" s="42">
        <f t="shared" si="1"/>
        <v>0.11506849315068493</v>
      </c>
      <c r="L61" s="61" t="s">
        <v>1046</v>
      </c>
      <c r="M61" s="8" t="s">
        <v>1047</v>
      </c>
    </row>
    <row r="62" spans="1:13" x14ac:dyDescent="0.25">
      <c r="A62" s="77" t="s">
        <v>68</v>
      </c>
      <c r="B62" s="10">
        <v>5.4</v>
      </c>
      <c r="C62" s="8" t="s">
        <v>66</v>
      </c>
      <c r="D62" s="77" t="s">
        <v>108</v>
      </c>
      <c r="E62" s="77" t="s">
        <v>113</v>
      </c>
      <c r="F62" s="92" t="s">
        <v>78</v>
      </c>
      <c r="G62" s="58">
        <v>15</v>
      </c>
      <c r="H62" s="77">
        <v>1</v>
      </c>
      <c r="I62" s="59">
        <v>2</v>
      </c>
      <c r="J62" s="102">
        <f>365/7*5</f>
        <v>260.71428571428572</v>
      </c>
      <c r="K62" s="42">
        <f t="shared" si="1"/>
        <v>0.11506849315068493</v>
      </c>
      <c r="L62" s="61" t="s">
        <v>1048</v>
      </c>
      <c r="M62" s="8" t="s">
        <v>1049</v>
      </c>
    </row>
    <row r="63" spans="1:13" x14ac:dyDescent="0.25">
      <c r="A63" s="77" t="s">
        <v>68</v>
      </c>
      <c r="B63" s="10">
        <v>5.4</v>
      </c>
      <c r="C63" s="8" t="s">
        <v>66</v>
      </c>
      <c r="D63" s="77" t="s">
        <v>108</v>
      </c>
      <c r="E63" s="77" t="s">
        <v>114</v>
      </c>
      <c r="F63" s="92" t="s">
        <v>78</v>
      </c>
      <c r="G63" s="58">
        <v>10</v>
      </c>
      <c r="H63" s="77">
        <v>1</v>
      </c>
      <c r="I63" s="59">
        <v>1</v>
      </c>
      <c r="J63" s="102">
        <f>365/7*5</f>
        <v>260.71428571428572</v>
      </c>
      <c r="K63" s="42">
        <f t="shared" si="1"/>
        <v>3.8356164383561646E-2</v>
      </c>
      <c r="L63" s="61" t="s">
        <v>1050</v>
      </c>
      <c r="M63" s="8" t="s">
        <v>1051</v>
      </c>
    </row>
    <row r="64" spans="1:13" ht="22.5" x14ac:dyDescent="0.25">
      <c r="A64" s="61" t="s">
        <v>68</v>
      </c>
      <c r="B64" s="10">
        <v>5.4</v>
      </c>
      <c r="C64" s="8" t="s">
        <v>66</v>
      </c>
      <c r="D64" s="61" t="s">
        <v>108</v>
      </c>
      <c r="E64" s="61" t="s">
        <v>115</v>
      </c>
      <c r="F64" s="92" t="s">
        <v>78</v>
      </c>
      <c r="G64" s="95">
        <v>7</v>
      </c>
      <c r="H64" s="61">
        <v>1</v>
      </c>
      <c r="I64" s="104">
        <v>2</v>
      </c>
      <c r="J64" s="98">
        <f>365/7*5</f>
        <v>260.71428571428572</v>
      </c>
      <c r="K64" s="42">
        <f t="shared" si="1"/>
        <v>5.3698630136986301E-2</v>
      </c>
      <c r="L64" s="61" t="s">
        <v>1052</v>
      </c>
      <c r="M64" s="8" t="s">
        <v>1053</v>
      </c>
    </row>
    <row r="65" spans="1:13" ht="22.5" x14ac:dyDescent="0.25">
      <c r="A65" s="61" t="s">
        <v>68</v>
      </c>
      <c r="B65" s="10">
        <v>5.4</v>
      </c>
      <c r="C65" s="8" t="s">
        <v>66</v>
      </c>
      <c r="D65" s="61" t="s">
        <v>108</v>
      </c>
      <c r="E65" s="77" t="s">
        <v>224</v>
      </c>
      <c r="F65" s="92" t="s">
        <v>78</v>
      </c>
      <c r="G65" s="58">
        <v>10</v>
      </c>
      <c r="H65" s="77">
        <v>1</v>
      </c>
      <c r="I65" s="59">
        <v>1</v>
      </c>
      <c r="J65" s="102">
        <f>365/7*5</f>
        <v>260.71428571428572</v>
      </c>
      <c r="K65" s="42">
        <f t="shared" si="1"/>
        <v>3.8356164383561646E-2</v>
      </c>
      <c r="L65" s="77" t="s">
        <v>1054</v>
      </c>
      <c r="M65" s="8" t="s">
        <v>1055</v>
      </c>
    </row>
    <row r="66" spans="1:13" ht="56.25" x14ac:dyDescent="0.25">
      <c r="A66" s="61" t="s">
        <v>68</v>
      </c>
      <c r="B66" s="15">
        <v>5.4</v>
      </c>
      <c r="C66" s="8" t="s">
        <v>66</v>
      </c>
      <c r="D66" s="61" t="s">
        <v>108</v>
      </c>
      <c r="E66" s="61" t="s">
        <v>118</v>
      </c>
      <c r="F66" s="94" t="s">
        <v>78</v>
      </c>
      <c r="G66" s="92">
        <v>3.5964187327823693</v>
      </c>
      <c r="H66" s="61">
        <v>1</v>
      </c>
      <c r="I66" s="104">
        <v>1</v>
      </c>
      <c r="J66" s="98">
        <f>365/7*20</f>
        <v>1042.8571428571429</v>
      </c>
      <c r="K66" s="42">
        <f t="shared" si="1"/>
        <v>3.4486207026680252E-3</v>
      </c>
      <c r="L66" s="61" t="s">
        <v>1056</v>
      </c>
      <c r="M66" s="8" t="s">
        <v>119</v>
      </c>
    </row>
    <row r="67" spans="1:13" ht="22.5" x14ac:dyDescent="0.25">
      <c r="A67" s="61" t="s">
        <v>68</v>
      </c>
      <c r="B67" s="15">
        <v>5.4</v>
      </c>
      <c r="C67" s="8" t="s">
        <v>66</v>
      </c>
      <c r="D67" s="61" t="s">
        <v>112</v>
      </c>
      <c r="E67" s="77" t="s">
        <v>116</v>
      </c>
      <c r="F67" s="77" t="s">
        <v>50</v>
      </c>
      <c r="G67" s="92">
        <v>4.8808539944903586</v>
      </c>
      <c r="H67" s="77"/>
      <c r="I67" s="93">
        <v>1</v>
      </c>
      <c r="J67" s="60">
        <f>365/7*35</f>
        <v>1825</v>
      </c>
      <c r="K67" s="42">
        <f t="shared" si="1"/>
        <v>2.6744405449262241E-3</v>
      </c>
      <c r="L67" s="61" t="s">
        <v>1057</v>
      </c>
      <c r="M67" s="77" t="s">
        <v>225</v>
      </c>
    </row>
    <row r="68" spans="1:13" x14ac:dyDescent="0.25">
      <c r="A68" s="77" t="s">
        <v>68</v>
      </c>
      <c r="B68" s="10">
        <v>5.4</v>
      </c>
      <c r="C68" s="8" t="s">
        <v>66</v>
      </c>
      <c r="D68" s="77" t="s">
        <v>108</v>
      </c>
      <c r="E68" s="77" t="s">
        <v>117</v>
      </c>
      <c r="F68" s="77" t="s">
        <v>50</v>
      </c>
      <c r="G68" s="92">
        <v>2.5688705234159781</v>
      </c>
      <c r="H68" s="77"/>
      <c r="I68" s="93">
        <v>1</v>
      </c>
      <c r="J68" s="60">
        <f>365/7*15</f>
        <v>782.14285714285722</v>
      </c>
      <c r="K68" s="42">
        <f t="shared" ref="K68:K99" si="2">G68*I68/J68</f>
        <v>3.2844006692076427E-3</v>
      </c>
      <c r="L68" s="77" t="s">
        <v>1058</v>
      </c>
      <c r="M68" s="76" t="s">
        <v>226</v>
      </c>
    </row>
    <row r="69" spans="1:13" ht="33.75" x14ac:dyDescent="0.25">
      <c r="A69" s="61" t="s">
        <v>68</v>
      </c>
      <c r="B69" s="10">
        <v>5.4</v>
      </c>
      <c r="C69" s="8" t="s">
        <v>66</v>
      </c>
      <c r="D69" s="61" t="s">
        <v>108</v>
      </c>
      <c r="E69" s="77" t="s">
        <v>227</v>
      </c>
      <c r="F69" s="77" t="s">
        <v>73</v>
      </c>
      <c r="G69" s="92">
        <v>16.44077134986226</v>
      </c>
      <c r="H69" s="77">
        <v>3</v>
      </c>
      <c r="I69" s="59">
        <v>1</v>
      </c>
      <c r="J69" s="60">
        <f>365/7*35</f>
        <v>1825</v>
      </c>
      <c r="K69" s="42">
        <f t="shared" si="2"/>
        <v>9.0086418355409641E-3</v>
      </c>
      <c r="L69" s="61" t="s">
        <v>1059</v>
      </c>
      <c r="M69" s="8" t="s">
        <v>228</v>
      </c>
    </row>
    <row r="70" spans="1:13" ht="22.5" x14ac:dyDescent="0.25">
      <c r="A70" s="61" t="s">
        <v>68</v>
      </c>
      <c r="B70" s="10">
        <v>5.4</v>
      </c>
      <c r="C70" s="8" t="s">
        <v>66</v>
      </c>
      <c r="D70" s="61" t="s">
        <v>108</v>
      </c>
      <c r="E70" s="77" t="s">
        <v>229</v>
      </c>
      <c r="F70" s="77" t="s">
        <v>50</v>
      </c>
      <c r="G70" s="92">
        <v>3.5964187327823693</v>
      </c>
      <c r="H70" s="77">
        <v>1</v>
      </c>
      <c r="I70" s="59">
        <v>1</v>
      </c>
      <c r="J70" s="60">
        <f>365/7*15</f>
        <v>782.14285714285722</v>
      </c>
      <c r="K70" s="42">
        <f t="shared" si="2"/>
        <v>4.5981609368907E-3</v>
      </c>
      <c r="L70" s="61" t="s">
        <v>1060</v>
      </c>
      <c r="M70" s="8" t="s">
        <v>230</v>
      </c>
    </row>
    <row r="71" spans="1:13" ht="101.25" x14ac:dyDescent="0.25">
      <c r="A71" s="61" t="s">
        <v>68</v>
      </c>
      <c r="B71" s="10">
        <v>5.4</v>
      </c>
      <c r="C71" s="8" t="s">
        <v>66</v>
      </c>
      <c r="D71" s="61" t="s">
        <v>112</v>
      </c>
      <c r="E71" s="61" t="s">
        <v>120</v>
      </c>
      <c r="F71" s="94" t="s">
        <v>73</v>
      </c>
      <c r="G71" s="92">
        <v>18.495867768595041</v>
      </c>
      <c r="H71" s="61">
        <v>8</v>
      </c>
      <c r="I71" s="104">
        <v>1</v>
      </c>
      <c r="J71" s="98">
        <f>365/7*10</f>
        <v>521.42857142857144</v>
      </c>
      <c r="K71" s="42">
        <f t="shared" si="2"/>
        <v>3.547152722744254E-2</v>
      </c>
      <c r="L71" s="61" t="s">
        <v>1061</v>
      </c>
      <c r="M71" s="8" t="s">
        <v>231</v>
      </c>
    </row>
    <row r="72" spans="1:13" ht="22.5" x14ac:dyDescent="0.25">
      <c r="A72" s="61" t="s">
        <v>68</v>
      </c>
      <c r="B72" s="10">
        <v>5.4</v>
      </c>
      <c r="C72" s="8" t="s">
        <v>66</v>
      </c>
      <c r="D72" s="61" t="s">
        <v>112</v>
      </c>
      <c r="E72" s="61" t="s">
        <v>232</v>
      </c>
      <c r="F72" s="94" t="s">
        <v>50</v>
      </c>
      <c r="G72" s="92">
        <v>0.51377410468319562</v>
      </c>
      <c r="H72" s="61">
        <v>1</v>
      </c>
      <c r="I72" s="104">
        <v>3</v>
      </c>
      <c r="J72" s="98">
        <f>365/7*2</f>
        <v>104.28571428571429</v>
      </c>
      <c r="K72" s="42">
        <f t="shared" si="2"/>
        <v>1.4779803011434394E-2</v>
      </c>
      <c r="L72" s="77" t="s">
        <v>1062</v>
      </c>
      <c r="M72" s="8" t="s">
        <v>233</v>
      </c>
    </row>
    <row r="73" spans="1:13" ht="22.5" x14ac:dyDescent="0.25">
      <c r="A73" s="61" t="s">
        <v>68</v>
      </c>
      <c r="B73" s="10">
        <v>5.4</v>
      </c>
      <c r="C73" s="8" t="s">
        <v>66</v>
      </c>
      <c r="D73" s="61" t="s">
        <v>112</v>
      </c>
      <c r="E73" s="8" t="s">
        <v>1063</v>
      </c>
      <c r="F73" s="8" t="s">
        <v>50</v>
      </c>
      <c r="G73" s="92">
        <v>2.5688705234159781</v>
      </c>
      <c r="H73" s="43">
        <v>1</v>
      </c>
      <c r="I73" s="43">
        <v>2</v>
      </c>
      <c r="J73" s="44">
        <f>365/7*20</f>
        <v>1042.8571428571429</v>
      </c>
      <c r="K73" s="42">
        <f t="shared" si="2"/>
        <v>4.9266010038114651E-3</v>
      </c>
      <c r="L73" s="8" t="s">
        <v>252</v>
      </c>
      <c r="M73" s="8" t="s">
        <v>127</v>
      </c>
    </row>
    <row r="74" spans="1:13" ht="22.5" x14ac:dyDescent="0.25">
      <c r="A74" s="61" t="s">
        <v>68</v>
      </c>
      <c r="B74" s="10">
        <v>5.4</v>
      </c>
      <c r="C74" s="8" t="s">
        <v>66</v>
      </c>
      <c r="D74" s="61" t="s">
        <v>112</v>
      </c>
      <c r="E74" s="61" t="s">
        <v>123</v>
      </c>
      <c r="F74" s="94" t="s">
        <v>50</v>
      </c>
      <c r="G74" s="92">
        <v>3.0826446280991737</v>
      </c>
      <c r="H74" s="61">
        <v>1</v>
      </c>
      <c r="I74" s="104">
        <v>1</v>
      </c>
      <c r="J74" s="98">
        <f>365/7*4</f>
        <v>208.57142857142858</v>
      </c>
      <c r="K74" s="42">
        <f t="shared" si="2"/>
        <v>1.4779803011434394E-2</v>
      </c>
      <c r="L74" s="77" t="s">
        <v>1064</v>
      </c>
      <c r="M74" s="8" t="s">
        <v>234</v>
      </c>
    </row>
    <row r="75" spans="1:13" ht="45" x14ac:dyDescent="0.25">
      <c r="A75" s="61" t="s">
        <v>68</v>
      </c>
      <c r="B75" s="10">
        <v>5.4</v>
      </c>
      <c r="C75" s="8" t="s">
        <v>66</v>
      </c>
      <c r="D75" s="61" t="s">
        <v>112</v>
      </c>
      <c r="E75" s="77" t="s">
        <v>235</v>
      </c>
      <c r="F75" s="92" t="s">
        <v>50</v>
      </c>
      <c r="G75" s="92">
        <v>10.275482093663912</v>
      </c>
      <c r="H75" s="77">
        <v>1</v>
      </c>
      <c r="I75" s="59">
        <v>1</v>
      </c>
      <c r="J75" s="102">
        <f>365/7*6</f>
        <v>312.85714285714289</v>
      </c>
      <c r="K75" s="42">
        <f t="shared" si="2"/>
        <v>3.2844006692076426E-2</v>
      </c>
      <c r="L75" s="61" t="s">
        <v>1065</v>
      </c>
      <c r="M75" s="8" t="s">
        <v>236</v>
      </c>
    </row>
    <row r="76" spans="1:13" ht="22.5" x14ac:dyDescent="0.25">
      <c r="A76" s="61" t="s">
        <v>68</v>
      </c>
      <c r="B76" s="10">
        <v>5.4</v>
      </c>
      <c r="C76" s="8" t="s">
        <v>66</v>
      </c>
      <c r="D76" s="61" t="s">
        <v>112</v>
      </c>
      <c r="E76" s="77" t="s">
        <v>237</v>
      </c>
      <c r="F76" s="92" t="s">
        <v>50</v>
      </c>
      <c r="G76" s="92">
        <v>0.61652892561983474</v>
      </c>
      <c r="H76" s="77">
        <v>1</v>
      </c>
      <c r="I76" s="77">
        <v>1</v>
      </c>
      <c r="J76" s="60">
        <f>365/7*2</f>
        <v>104.28571428571429</v>
      </c>
      <c r="K76" s="42">
        <f t="shared" si="2"/>
        <v>5.9119212045737578E-3</v>
      </c>
      <c r="L76" s="61" t="s">
        <v>1066</v>
      </c>
      <c r="M76" s="8" t="s">
        <v>238</v>
      </c>
    </row>
    <row r="77" spans="1:13" ht="22.5" x14ac:dyDescent="0.25">
      <c r="A77" s="61" t="s">
        <v>68</v>
      </c>
      <c r="B77" s="10">
        <v>5.4</v>
      </c>
      <c r="C77" s="8" t="s">
        <v>66</v>
      </c>
      <c r="D77" s="61" t="s">
        <v>112</v>
      </c>
      <c r="E77" s="77" t="s">
        <v>121</v>
      </c>
      <c r="F77" s="92" t="s">
        <v>50</v>
      </c>
      <c r="G77" s="92">
        <v>4.110192837465565</v>
      </c>
      <c r="H77" s="77">
        <v>1</v>
      </c>
      <c r="I77" s="59">
        <v>1</v>
      </c>
      <c r="J77" s="102">
        <f>365/7*35</f>
        <v>1825</v>
      </c>
      <c r="K77" s="42">
        <f t="shared" si="2"/>
        <v>2.252160458885241E-3</v>
      </c>
      <c r="L77" s="61" t="s">
        <v>1067</v>
      </c>
      <c r="M77" s="8" t="s">
        <v>239</v>
      </c>
    </row>
    <row r="78" spans="1:13" ht="33.75" x14ac:dyDescent="0.25">
      <c r="A78" s="61" t="s">
        <v>68</v>
      </c>
      <c r="B78" s="10">
        <v>5.4</v>
      </c>
      <c r="C78" s="8" t="s">
        <v>66</v>
      </c>
      <c r="D78" s="61" t="s">
        <v>112</v>
      </c>
      <c r="E78" s="77" t="s">
        <v>122</v>
      </c>
      <c r="F78" s="77" t="s">
        <v>50</v>
      </c>
      <c r="G78" s="92">
        <v>5.1377410468319562</v>
      </c>
      <c r="H78" s="77">
        <v>1</v>
      </c>
      <c r="I78" s="59">
        <v>1</v>
      </c>
      <c r="J78" s="60">
        <f>365/7*20</f>
        <v>1042.8571428571429</v>
      </c>
      <c r="K78" s="42">
        <f t="shared" si="2"/>
        <v>4.9266010038114651E-3</v>
      </c>
      <c r="L78" s="61" t="s">
        <v>1068</v>
      </c>
      <c r="M78" s="8" t="s">
        <v>240</v>
      </c>
    </row>
    <row r="79" spans="1:13" ht="45" x14ac:dyDescent="0.25">
      <c r="A79" s="61" t="s">
        <v>68</v>
      </c>
      <c r="B79" s="10">
        <v>5.4</v>
      </c>
      <c r="C79" s="8" t="s">
        <v>66</v>
      </c>
      <c r="D79" s="61" t="s">
        <v>112</v>
      </c>
      <c r="E79" s="77" t="s">
        <v>241</v>
      </c>
      <c r="F79" s="92"/>
      <c r="G79" s="92">
        <v>15.41322314049587</v>
      </c>
      <c r="H79" s="77">
        <v>1</v>
      </c>
      <c r="I79" s="59">
        <v>1</v>
      </c>
      <c r="J79" s="102">
        <f>365/7</f>
        <v>52.142857142857146</v>
      </c>
      <c r="K79" s="42">
        <f t="shared" si="2"/>
        <v>0.2955960602286879</v>
      </c>
      <c r="L79" s="61" t="s">
        <v>242</v>
      </c>
      <c r="M79" s="106"/>
    </row>
    <row r="80" spans="1:13" ht="33.75" x14ac:dyDescent="0.25">
      <c r="A80" s="15" t="s">
        <v>68</v>
      </c>
      <c r="B80" s="15">
        <v>5.4</v>
      </c>
      <c r="C80" s="8" t="s">
        <v>66</v>
      </c>
      <c r="D80" s="61" t="s">
        <v>112</v>
      </c>
      <c r="E80" s="77" t="s">
        <v>243</v>
      </c>
      <c r="F80" s="92" t="s">
        <v>73</v>
      </c>
      <c r="G80" s="92">
        <v>16.44077134986226</v>
      </c>
      <c r="H80" s="77">
        <v>3</v>
      </c>
      <c r="I80" s="59">
        <v>1</v>
      </c>
      <c r="J80" s="102">
        <f>365/7*35</f>
        <v>1825</v>
      </c>
      <c r="K80" s="42">
        <f t="shared" si="2"/>
        <v>9.0086418355409641E-3</v>
      </c>
      <c r="L80" s="61" t="s">
        <v>1069</v>
      </c>
      <c r="M80" s="8" t="s">
        <v>244</v>
      </c>
    </row>
    <row r="81" spans="1:13" ht="67.5" x14ac:dyDescent="0.25">
      <c r="A81" s="61" t="s">
        <v>68</v>
      </c>
      <c r="B81" s="15">
        <v>5.4</v>
      </c>
      <c r="C81" s="8" t="s">
        <v>66</v>
      </c>
      <c r="D81" s="61" t="s">
        <v>112</v>
      </c>
      <c r="E81" s="61" t="s">
        <v>245</v>
      </c>
      <c r="F81" s="94" t="s">
        <v>50</v>
      </c>
      <c r="G81" s="92">
        <v>3.0826446280991737</v>
      </c>
      <c r="H81" s="61">
        <v>3</v>
      </c>
      <c r="I81" s="104">
        <v>1</v>
      </c>
      <c r="J81" s="98">
        <f>365/7*5</f>
        <v>260.71428571428572</v>
      </c>
      <c r="K81" s="42">
        <f t="shared" si="2"/>
        <v>1.1823842409147516E-2</v>
      </c>
      <c r="L81" s="61" t="s">
        <v>1070</v>
      </c>
      <c r="M81" s="76" t="s">
        <v>246</v>
      </c>
    </row>
    <row r="82" spans="1:13" ht="22.5" x14ac:dyDescent="0.25">
      <c r="A82" s="61" t="s">
        <v>68</v>
      </c>
      <c r="B82" s="15">
        <v>5.4</v>
      </c>
      <c r="C82" s="8" t="s">
        <v>66</v>
      </c>
      <c r="D82" s="61" t="s">
        <v>112</v>
      </c>
      <c r="E82" s="77" t="s">
        <v>145</v>
      </c>
      <c r="F82" s="92" t="s">
        <v>78</v>
      </c>
      <c r="G82" s="92">
        <v>12.330578512396695</v>
      </c>
      <c r="H82" s="77">
        <v>1</v>
      </c>
      <c r="I82" s="77">
        <v>1</v>
      </c>
      <c r="J82" s="60">
        <f>365/7*5</f>
        <v>260.71428571428572</v>
      </c>
      <c r="K82" s="42">
        <f t="shared" si="2"/>
        <v>4.7295369636590062E-2</v>
      </c>
      <c r="L82" s="77" t="s">
        <v>1071</v>
      </c>
      <c r="M82" s="8" t="s">
        <v>247</v>
      </c>
    </row>
    <row r="83" spans="1:13" ht="33.75" x14ac:dyDescent="0.25">
      <c r="A83" s="61" t="s">
        <v>68</v>
      </c>
      <c r="B83" s="1">
        <v>5.4</v>
      </c>
      <c r="C83" s="8" t="s">
        <v>66</v>
      </c>
      <c r="D83" s="61" t="s">
        <v>112</v>
      </c>
      <c r="E83" s="61" t="s">
        <v>82</v>
      </c>
      <c r="F83" s="92" t="s">
        <v>73</v>
      </c>
      <c r="G83" s="92">
        <v>6.1652892561983474</v>
      </c>
      <c r="H83" s="77">
        <v>1</v>
      </c>
      <c r="I83" s="59">
        <v>1</v>
      </c>
      <c r="J83" s="102">
        <f>365/7*15</f>
        <v>782.14285714285722</v>
      </c>
      <c r="K83" s="42">
        <f t="shared" si="2"/>
        <v>7.8825616060983431E-3</v>
      </c>
      <c r="L83" s="61" t="s">
        <v>1072</v>
      </c>
      <c r="M83" s="8" t="s">
        <v>248</v>
      </c>
    </row>
    <row r="84" spans="1:13" ht="22.5" x14ac:dyDescent="0.25">
      <c r="A84" s="15" t="s">
        <v>68</v>
      </c>
      <c r="B84" s="1">
        <v>5.6</v>
      </c>
      <c r="C84" s="8" t="s">
        <v>66</v>
      </c>
      <c r="D84" s="61" t="s">
        <v>125</v>
      </c>
      <c r="E84" s="61" t="s">
        <v>126</v>
      </c>
      <c r="F84" s="77" t="s">
        <v>28</v>
      </c>
      <c r="G84" s="92">
        <v>2.4847517730496458</v>
      </c>
      <c r="H84" s="77">
        <v>30</v>
      </c>
      <c r="I84" s="59">
        <v>1</v>
      </c>
      <c r="J84" s="60">
        <f>60/7</f>
        <v>8.5714285714285712</v>
      </c>
      <c r="K84" s="42">
        <f t="shared" si="2"/>
        <v>0.28988770685579202</v>
      </c>
      <c r="L84" s="61" t="s">
        <v>1073</v>
      </c>
      <c r="M84" s="103" t="s">
        <v>249</v>
      </c>
    </row>
    <row r="85" spans="1:13" ht="22.5" x14ac:dyDescent="0.25">
      <c r="A85" s="15" t="s">
        <v>68</v>
      </c>
      <c r="B85" s="15">
        <v>5.4</v>
      </c>
      <c r="C85" s="8" t="s">
        <v>66</v>
      </c>
      <c r="D85" s="61" t="s">
        <v>112</v>
      </c>
      <c r="E85" s="61" t="s">
        <v>128</v>
      </c>
      <c r="F85" s="94" t="s">
        <v>50</v>
      </c>
      <c r="G85" s="92">
        <v>1.7468319559228651</v>
      </c>
      <c r="H85" s="61">
        <v>1</v>
      </c>
      <c r="I85" s="104">
        <v>1</v>
      </c>
      <c r="J85" s="98">
        <f>365/7*2</f>
        <v>104.28571428571429</v>
      </c>
      <c r="K85" s="42">
        <f t="shared" si="2"/>
        <v>1.675044341295898E-2</v>
      </c>
      <c r="L85" s="61" t="s">
        <v>1074</v>
      </c>
      <c r="M85" s="8" t="s">
        <v>129</v>
      </c>
    </row>
    <row r="86" spans="1:13" ht="22.5" x14ac:dyDescent="0.25">
      <c r="A86" s="15" t="s">
        <v>68</v>
      </c>
      <c r="B86" s="1">
        <v>5.4</v>
      </c>
      <c r="C86" s="8" t="s">
        <v>66</v>
      </c>
      <c r="D86" s="61" t="s">
        <v>112</v>
      </c>
      <c r="E86" s="61" t="s">
        <v>130</v>
      </c>
      <c r="F86" s="94" t="s">
        <v>50</v>
      </c>
      <c r="G86" s="92">
        <v>1.7468319559228651</v>
      </c>
      <c r="H86" s="61">
        <v>1</v>
      </c>
      <c r="I86" s="104">
        <v>1</v>
      </c>
      <c r="J86" s="98">
        <f>365/7*2</f>
        <v>104.28571428571429</v>
      </c>
      <c r="K86" s="42">
        <f t="shared" si="2"/>
        <v>1.675044341295898E-2</v>
      </c>
      <c r="L86" s="61" t="s">
        <v>1075</v>
      </c>
      <c r="M86" s="8" t="s">
        <v>131</v>
      </c>
    </row>
    <row r="87" spans="1:13" ht="45" x14ac:dyDescent="0.25">
      <c r="A87" s="10" t="s">
        <v>68</v>
      </c>
      <c r="B87" s="10">
        <v>5.4</v>
      </c>
      <c r="C87" s="8" t="s">
        <v>66</v>
      </c>
      <c r="D87" s="61" t="s">
        <v>112</v>
      </c>
      <c r="E87" s="61" t="s">
        <v>250</v>
      </c>
      <c r="F87" s="94" t="s">
        <v>52</v>
      </c>
      <c r="G87" s="92">
        <v>8.2101101928374653</v>
      </c>
      <c r="H87" s="61">
        <v>17</v>
      </c>
      <c r="I87" s="104">
        <v>1</v>
      </c>
      <c r="J87" s="98">
        <f>365/7*5</f>
        <v>260.71428571428572</v>
      </c>
      <c r="K87" s="42">
        <f t="shared" si="2"/>
        <v>3.149083361636288E-2</v>
      </c>
      <c r="L87" s="61" t="s">
        <v>1076</v>
      </c>
      <c r="M87" s="8" t="s">
        <v>251</v>
      </c>
    </row>
    <row r="88" spans="1:13" ht="45" x14ac:dyDescent="0.25">
      <c r="A88" s="10" t="s">
        <v>68</v>
      </c>
      <c r="B88" s="1">
        <v>5.4</v>
      </c>
      <c r="C88" s="8" t="s">
        <v>66</v>
      </c>
      <c r="D88" s="61" t="s">
        <v>112</v>
      </c>
      <c r="E88" s="61" t="s">
        <v>124</v>
      </c>
      <c r="F88" s="94" t="s">
        <v>75</v>
      </c>
      <c r="G88" s="92">
        <v>10.778980716253445</v>
      </c>
      <c r="H88" s="61">
        <v>3</v>
      </c>
      <c r="I88" s="104">
        <v>1</v>
      </c>
      <c r="J88" s="98">
        <f>365/7*10</f>
        <v>521.42857142857144</v>
      </c>
      <c r="K88" s="42">
        <f t="shared" si="2"/>
        <v>2.0672017811992908E-2</v>
      </c>
      <c r="L88" s="61" t="s">
        <v>1077</v>
      </c>
      <c r="M88" s="8" t="s">
        <v>253</v>
      </c>
    </row>
    <row r="89" spans="1:13" ht="33.75" x14ac:dyDescent="0.25">
      <c r="A89" s="61" t="s">
        <v>68</v>
      </c>
      <c r="B89" s="1">
        <v>5.4</v>
      </c>
      <c r="C89" s="8" t="s">
        <v>66</v>
      </c>
      <c r="D89" s="61" t="s">
        <v>137</v>
      </c>
      <c r="E89" s="61" t="s">
        <v>254</v>
      </c>
      <c r="F89" s="94" t="s">
        <v>75</v>
      </c>
      <c r="G89" s="92">
        <v>5.1274655647382925</v>
      </c>
      <c r="H89" s="61">
        <v>1</v>
      </c>
      <c r="I89" s="104">
        <v>1</v>
      </c>
      <c r="J89" s="98">
        <f>365/7*10</f>
        <v>521.42857142857144</v>
      </c>
      <c r="K89" s="42">
        <f t="shared" si="2"/>
        <v>9.8334956036076841E-3</v>
      </c>
      <c r="L89" s="77" t="s">
        <v>1078</v>
      </c>
      <c r="M89" s="8" t="s">
        <v>255</v>
      </c>
    </row>
    <row r="90" spans="1:13" ht="22.5" x14ac:dyDescent="0.25">
      <c r="A90" s="15" t="s">
        <v>68</v>
      </c>
      <c r="B90" s="15">
        <v>5.6</v>
      </c>
      <c r="C90" s="8" t="s">
        <v>66</v>
      </c>
      <c r="D90" s="61" t="s">
        <v>132</v>
      </c>
      <c r="E90" s="61" t="s">
        <v>182</v>
      </c>
      <c r="F90" s="94" t="s">
        <v>28</v>
      </c>
      <c r="G90" s="92">
        <v>1.920035460992908</v>
      </c>
      <c r="H90" s="61">
        <v>1</v>
      </c>
      <c r="I90" s="61">
        <v>1</v>
      </c>
      <c r="J90" s="98">
        <f>40/5*2</f>
        <v>16</v>
      </c>
      <c r="K90" s="42">
        <f t="shared" si="2"/>
        <v>0.12000221631205675</v>
      </c>
      <c r="L90" s="61" t="s">
        <v>1079</v>
      </c>
      <c r="M90" s="8" t="s">
        <v>256</v>
      </c>
    </row>
    <row r="91" spans="1:13" ht="22.5" x14ac:dyDescent="0.25">
      <c r="A91" s="15" t="s">
        <v>68</v>
      </c>
      <c r="B91" s="15">
        <v>5.6</v>
      </c>
      <c r="C91" s="8" t="s">
        <v>66</v>
      </c>
      <c r="D91" s="77" t="s">
        <v>132</v>
      </c>
      <c r="E91" s="61" t="s">
        <v>133</v>
      </c>
      <c r="F91" s="94" t="s">
        <v>28</v>
      </c>
      <c r="G91" s="92">
        <v>1.6941489361702131</v>
      </c>
      <c r="H91" s="61">
        <v>1</v>
      </c>
      <c r="I91" s="61">
        <v>1</v>
      </c>
      <c r="J91" s="98">
        <f>74/5*2</f>
        <v>29.6</v>
      </c>
      <c r="K91" s="42">
        <f t="shared" si="2"/>
        <v>5.7234761357101795E-2</v>
      </c>
      <c r="L91" s="61" t="s">
        <v>1079</v>
      </c>
      <c r="M91" s="8" t="s">
        <v>257</v>
      </c>
    </row>
    <row r="92" spans="1:13" ht="45" x14ac:dyDescent="0.25">
      <c r="A92" s="10" t="s">
        <v>68</v>
      </c>
      <c r="B92" s="10">
        <v>5.6</v>
      </c>
      <c r="C92" s="8" t="s">
        <v>66</v>
      </c>
      <c r="D92" s="77" t="s">
        <v>132</v>
      </c>
      <c r="E92" s="61" t="s">
        <v>258</v>
      </c>
      <c r="F92" s="94" t="s">
        <v>50</v>
      </c>
      <c r="G92" s="92">
        <v>1.1294326241134753</v>
      </c>
      <c r="H92" s="61">
        <v>1</v>
      </c>
      <c r="I92" s="104">
        <v>1</v>
      </c>
      <c r="J92" s="98">
        <v>50</v>
      </c>
      <c r="K92" s="42">
        <f t="shared" si="2"/>
        <v>2.2588652482269506E-2</v>
      </c>
      <c r="L92" s="77" t="s">
        <v>1080</v>
      </c>
      <c r="M92" s="8" t="s">
        <v>259</v>
      </c>
    </row>
    <row r="93" spans="1:13" ht="33.75" x14ac:dyDescent="0.25">
      <c r="A93" s="61" t="s">
        <v>68</v>
      </c>
      <c r="B93" s="15">
        <v>5.4</v>
      </c>
      <c r="C93" s="8" t="s">
        <v>66</v>
      </c>
      <c r="D93" s="61" t="s">
        <v>132</v>
      </c>
      <c r="E93" s="61" t="s">
        <v>260</v>
      </c>
      <c r="F93" s="94" t="s">
        <v>27</v>
      </c>
      <c r="G93" s="92">
        <v>21.578512396694215</v>
      </c>
      <c r="H93" s="61">
        <v>1</v>
      </c>
      <c r="I93" s="61">
        <v>1</v>
      </c>
      <c r="J93" s="98">
        <f>365/7*15</f>
        <v>782.14285714285722</v>
      </c>
      <c r="K93" s="42">
        <f t="shared" si="2"/>
        <v>2.7588965621344198E-2</v>
      </c>
      <c r="L93" s="61" t="s">
        <v>1081</v>
      </c>
      <c r="M93" s="10" t="s">
        <v>261</v>
      </c>
    </row>
    <row r="94" spans="1:13" ht="33.75" x14ac:dyDescent="0.25">
      <c r="A94" s="77" t="s">
        <v>68</v>
      </c>
      <c r="B94" s="15">
        <v>5.4</v>
      </c>
      <c r="C94" s="8" t="s">
        <v>66</v>
      </c>
      <c r="D94" s="77" t="s">
        <v>132</v>
      </c>
      <c r="E94" s="61" t="s">
        <v>262</v>
      </c>
      <c r="F94" s="94" t="s">
        <v>75</v>
      </c>
      <c r="G94" s="92">
        <v>7.182561983471075</v>
      </c>
      <c r="H94" s="61">
        <v>2</v>
      </c>
      <c r="I94" s="104">
        <v>2</v>
      </c>
      <c r="J94" s="98">
        <f>365/7*30</f>
        <v>1564.2857142857144</v>
      </c>
      <c r="K94" s="42">
        <f t="shared" si="2"/>
        <v>9.1831842711045698E-3</v>
      </c>
      <c r="L94" s="77" t="s">
        <v>1082</v>
      </c>
      <c r="M94" s="8" t="s">
        <v>263</v>
      </c>
    </row>
    <row r="95" spans="1:13" ht="22.5" x14ac:dyDescent="0.25">
      <c r="A95" s="61" t="s">
        <v>68</v>
      </c>
      <c r="B95" s="15">
        <v>5.3</v>
      </c>
      <c r="C95" s="8" t="s">
        <v>66</v>
      </c>
      <c r="D95" s="61" t="s">
        <v>132</v>
      </c>
      <c r="E95" s="61" t="s">
        <v>134</v>
      </c>
      <c r="F95" s="94" t="s">
        <v>73</v>
      </c>
      <c r="G95" s="58">
        <v>29.487136929460583</v>
      </c>
      <c r="H95" s="61">
        <v>1</v>
      </c>
      <c r="I95" s="104">
        <v>1</v>
      </c>
      <c r="J95" s="98">
        <f>365/7*5</f>
        <v>260.71428571428572</v>
      </c>
      <c r="K95" s="42">
        <f t="shared" si="2"/>
        <v>0.11310134712669812</v>
      </c>
      <c r="L95" s="61" t="s">
        <v>1083</v>
      </c>
      <c r="M95" s="8" t="s">
        <v>264</v>
      </c>
    </row>
    <row r="96" spans="1:13" ht="45" x14ac:dyDescent="0.25">
      <c r="A96" s="15" t="s">
        <v>68</v>
      </c>
      <c r="B96" s="15">
        <v>5.4</v>
      </c>
      <c r="C96" s="8" t="s">
        <v>66</v>
      </c>
      <c r="D96" s="61" t="s">
        <v>132</v>
      </c>
      <c r="E96" s="61" t="s">
        <v>135</v>
      </c>
      <c r="F96" s="94" t="s">
        <v>73</v>
      </c>
      <c r="G96" s="92">
        <v>20.550964187327825</v>
      </c>
      <c r="H96" s="61">
        <v>1</v>
      </c>
      <c r="I96" s="104">
        <v>1</v>
      </c>
      <c r="J96" s="98">
        <f>365/7*15</f>
        <v>782.14285714285722</v>
      </c>
      <c r="K96" s="42">
        <f t="shared" si="2"/>
        <v>2.6275205353661141E-2</v>
      </c>
      <c r="L96" s="61" t="s">
        <v>1084</v>
      </c>
      <c r="M96" s="8" t="s">
        <v>265</v>
      </c>
    </row>
    <row r="97" spans="1:13" ht="22.5" x14ac:dyDescent="0.25">
      <c r="A97" s="15" t="s">
        <v>68</v>
      </c>
      <c r="B97" s="15">
        <v>5.4</v>
      </c>
      <c r="C97" s="8" t="s">
        <v>66</v>
      </c>
      <c r="D97" s="77" t="s">
        <v>132</v>
      </c>
      <c r="E97" s="12" t="s">
        <v>136</v>
      </c>
      <c r="F97" s="13" t="s">
        <v>73</v>
      </c>
      <c r="G97" s="92">
        <v>6.1652892561983474</v>
      </c>
      <c r="H97" s="59">
        <v>1</v>
      </c>
      <c r="I97" s="59">
        <v>1</v>
      </c>
      <c r="J97" s="60">
        <f>365/7*2</f>
        <v>104.28571428571429</v>
      </c>
      <c r="K97" s="42">
        <f t="shared" si="2"/>
        <v>5.9119212045737578E-2</v>
      </c>
      <c r="L97" s="77" t="s">
        <v>1085</v>
      </c>
      <c r="M97" s="35" t="s">
        <v>266</v>
      </c>
    </row>
    <row r="98" spans="1:13" ht="22.5" x14ac:dyDescent="0.25">
      <c r="A98" s="61" t="s">
        <v>68</v>
      </c>
      <c r="B98" s="10">
        <v>5.6</v>
      </c>
      <c r="C98" s="8" t="s">
        <v>66</v>
      </c>
      <c r="D98" s="61" t="s">
        <v>132</v>
      </c>
      <c r="E98" s="8" t="s">
        <v>267</v>
      </c>
      <c r="F98" s="61" t="s">
        <v>73</v>
      </c>
      <c r="G98" s="92">
        <v>9.0354609929078027</v>
      </c>
      <c r="H98" s="61"/>
      <c r="I98" s="61">
        <v>1</v>
      </c>
      <c r="J98" s="98">
        <f>365/7*10</f>
        <v>521.42857142857144</v>
      </c>
      <c r="K98" s="42">
        <f t="shared" si="2"/>
        <v>1.7328281356261539E-2</v>
      </c>
      <c r="L98" s="77" t="s">
        <v>268</v>
      </c>
      <c r="M98" s="76" t="s">
        <v>269</v>
      </c>
    </row>
    <row r="99" spans="1:13" ht="33.75" x14ac:dyDescent="0.25">
      <c r="A99" s="61" t="s">
        <v>68</v>
      </c>
      <c r="B99" s="10">
        <v>5.6</v>
      </c>
      <c r="C99" s="8" t="s">
        <v>66</v>
      </c>
      <c r="D99" s="61" t="s">
        <v>132</v>
      </c>
      <c r="E99" s="77" t="s">
        <v>270</v>
      </c>
      <c r="F99" s="92" t="s">
        <v>27</v>
      </c>
      <c r="G99" s="92">
        <v>1.8070921985815607</v>
      </c>
      <c r="H99" s="77">
        <v>36</v>
      </c>
      <c r="I99" s="59">
        <v>1</v>
      </c>
      <c r="J99" s="60">
        <f>365/7*3</f>
        <v>156.42857142857144</v>
      </c>
      <c r="K99" s="42">
        <f t="shared" si="2"/>
        <v>1.1552187570841026E-2</v>
      </c>
      <c r="L99" s="77" t="s">
        <v>1086</v>
      </c>
      <c r="M99" s="107" t="s">
        <v>271</v>
      </c>
    </row>
    <row r="100" spans="1:13" ht="45" x14ac:dyDescent="0.25">
      <c r="A100" s="15" t="s">
        <v>68</v>
      </c>
      <c r="B100" s="15">
        <v>5.6</v>
      </c>
      <c r="C100" s="8" t="s">
        <v>66</v>
      </c>
      <c r="D100" s="61" t="s">
        <v>137</v>
      </c>
      <c r="E100" s="61" t="s">
        <v>272</v>
      </c>
      <c r="F100" s="92" t="s">
        <v>78</v>
      </c>
      <c r="G100" s="92">
        <v>16.941489361702128</v>
      </c>
      <c r="H100" s="77">
        <v>1</v>
      </c>
      <c r="I100" s="59">
        <v>1</v>
      </c>
      <c r="J100" s="60">
        <f>365/7*5</f>
        <v>260.71428571428572</v>
      </c>
      <c r="K100" s="42">
        <f t="shared" ref="K100:K121" si="3">G100*I100/J100</f>
        <v>6.498105508598076E-2</v>
      </c>
      <c r="L100" s="61" t="s">
        <v>1087</v>
      </c>
      <c r="M100" s="8" t="s">
        <v>273</v>
      </c>
    </row>
    <row r="101" spans="1:13" ht="22.5" x14ac:dyDescent="0.25">
      <c r="A101" s="15" t="s">
        <v>68</v>
      </c>
      <c r="B101" s="15">
        <v>5.6</v>
      </c>
      <c r="C101" s="8" t="s">
        <v>66</v>
      </c>
      <c r="D101" s="61" t="s">
        <v>137</v>
      </c>
      <c r="E101" s="77" t="s">
        <v>274</v>
      </c>
      <c r="F101" s="92" t="s">
        <v>78</v>
      </c>
      <c r="G101" s="92">
        <v>2.2588652482269507</v>
      </c>
      <c r="H101" s="77">
        <v>1</v>
      </c>
      <c r="I101" s="77">
        <v>1</v>
      </c>
      <c r="J101" s="60">
        <f>365/7*2</f>
        <v>104.28571428571429</v>
      </c>
      <c r="K101" s="42">
        <f t="shared" si="3"/>
        <v>2.1660351695326922E-2</v>
      </c>
      <c r="L101" s="77" t="s">
        <v>1088</v>
      </c>
      <c r="M101" s="76" t="s">
        <v>275</v>
      </c>
    </row>
    <row r="102" spans="1:13" ht="33.75" x14ac:dyDescent="0.25">
      <c r="A102" s="61" t="s">
        <v>68</v>
      </c>
      <c r="B102" s="1">
        <v>5.3</v>
      </c>
      <c r="C102" s="8" t="s">
        <v>66</v>
      </c>
      <c r="D102" s="61" t="s">
        <v>137</v>
      </c>
      <c r="E102" s="61" t="s">
        <v>138</v>
      </c>
      <c r="F102" s="94" t="s">
        <v>73</v>
      </c>
      <c r="G102" s="58">
        <v>94.769551867219917</v>
      </c>
      <c r="H102" s="61">
        <v>1</v>
      </c>
      <c r="I102" s="99">
        <v>1</v>
      </c>
      <c r="J102" s="98">
        <f>365/7*8</f>
        <v>417.14285714285717</v>
      </c>
      <c r="K102" s="42">
        <f t="shared" si="3"/>
        <v>0.2271872818734724</v>
      </c>
      <c r="L102" s="61" t="s">
        <v>1089</v>
      </c>
      <c r="M102" s="8" t="s">
        <v>139</v>
      </c>
    </row>
    <row r="103" spans="1:13" ht="33.75" x14ac:dyDescent="0.25">
      <c r="A103" s="61" t="s">
        <v>68</v>
      </c>
      <c r="B103" s="1">
        <v>5.6</v>
      </c>
      <c r="C103" s="8" t="s">
        <v>66</v>
      </c>
      <c r="D103" s="61" t="s">
        <v>137</v>
      </c>
      <c r="E103" s="77" t="s">
        <v>140</v>
      </c>
      <c r="F103" s="92" t="s">
        <v>27</v>
      </c>
      <c r="G103" s="92">
        <v>9.0354609929078027</v>
      </c>
      <c r="H103" s="77">
        <v>1</v>
      </c>
      <c r="I103" s="59">
        <v>1</v>
      </c>
      <c r="J103" s="60">
        <f>365/7*5</f>
        <v>260.71428571428572</v>
      </c>
      <c r="K103" s="42">
        <f t="shared" si="3"/>
        <v>3.4656562712523077E-2</v>
      </c>
      <c r="L103" s="61" t="s">
        <v>1090</v>
      </c>
      <c r="M103" s="8" t="s">
        <v>276</v>
      </c>
    </row>
    <row r="104" spans="1:13" x14ac:dyDescent="0.25">
      <c r="A104" s="61" t="s">
        <v>68</v>
      </c>
      <c r="B104" s="1">
        <v>5.6</v>
      </c>
      <c r="C104" s="8" t="s">
        <v>66</v>
      </c>
      <c r="D104" s="61" t="s">
        <v>137</v>
      </c>
      <c r="E104" s="77" t="s">
        <v>143</v>
      </c>
      <c r="F104" s="94" t="s">
        <v>28</v>
      </c>
      <c r="G104" s="92">
        <v>3.9530141843971638</v>
      </c>
      <c r="H104" s="61">
        <v>4</v>
      </c>
      <c r="I104" s="61">
        <v>1</v>
      </c>
      <c r="J104" s="60">
        <v>6</v>
      </c>
      <c r="K104" s="42">
        <f t="shared" si="3"/>
        <v>0.6588356973995273</v>
      </c>
      <c r="L104" s="61" t="s">
        <v>1091</v>
      </c>
      <c r="M104" s="103" t="s">
        <v>144</v>
      </c>
    </row>
    <row r="105" spans="1:13" ht="45" x14ac:dyDescent="0.25">
      <c r="A105" s="10" t="s">
        <v>68</v>
      </c>
      <c r="B105" s="10">
        <v>5.6</v>
      </c>
      <c r="C105" s="8" t="s">
        <v>66</v>
      </c>
      <c r="D105" s="61" t="s">
        <v>137</v>
      </c>
      <c r="E105" s="12" t="s">
        <v>277</v>
      </c>
      <c r="F105" s="13" t="s">
        <v>278</v>
      </c>
      <c r="G105" s="92">
        <v>1.1294326241134753</v>
      </c>
      <c r="H105" s="59">
        <v>7</v>
      </c>
      <c r="I105" s="59">
        <v>1</v>
      </c>
      <c r="J105" s="60">
        <f>365/7</f>
        <v>52.142857142857146</v>
      </c>
      <c r="K105" s="42">
        <f t="shared" si="3"/>
        <v>2.1660351695326922E-2</v>
      </c>
      <c r="L105" s="61" t="s">
        <v>1092</v>
      </c>
      <c r="M105" s="8" t="s">
        <v>279</v>
      </c>
    </row>
    <row r="106" spans="1:13" ht="22.5" x14ac:dyDescent="0.25">
      <c r="A106" s="61" t="s">
        <v>68</v>
      </c>
      <c r="B106" s="1">
        <v>5.6</v>
      </c>
      <c r="C106" s="8" t="s">
        <v>66</v>
      </c>
      <c r="D106" s="61" t="s">
        <v>137</v>
      </c>
      <c r="E106" s="61" t="s">
        <v>146</v>
      </c>
      <c r="F106" s="94" t="s">
        <v>50</v>
      </c>
      <c r="G106" s="92">
        <v>4.5177304964539013</v>
      </c>
      <c r="H106" s="61">
        <v>5</v>
      </c>
      <c r="I106" s="104">
        <v>1</v>
      </c>
      <c r="J106" s="98">
        <f>365/7</f>
        <v>52.142857142857146</v>
      </c>
      <c r="K106" s="42">
        <f t="shared" si="3"/>
        <v>8.6641406781307689E-2</v>
      </c>
      <c r="L106" s="77" t="s">
        <v>1093</v>
      </c>
      <c r="M106" s="61" t="s">
        <v>280</v>
      </c>
    </row>
    <row r="107" spans="1:13" ht="22.5" x14ac:dyDescent="0.25">
      <c r="A107" s="15" t="s">
        <v>68</v>
      </c>
      <c r="B107" s="15">
        <v>5.6</v>
      </c>
      <c r="C107" s="8" t="s">
        <v>66</v>
      </c>
      <c r="D107" s="61" t="s">
        <v>125</v>
      </c>
      <c r="E107" s="61" t="s">
        <v>148</v>
      </c>
      <c r="F107" s="94" t="s">
        <v>28</v>
      </c>
      <c r="G107" s="92">
        <v>2.2588652482269507</v>
      </c>
      <c r="H107" s="61">
        <v>1</v>
      </c>
      <c r="I107" s="61">
        <v>1</v>
      </c>
      <c r="J107" s="102">
        <v>6</v>
      </c>
      <c r="K107" s="42">
        <f t="shared" si="3"/>
        <v>0.37647754137115846</v>
      </c>
      <c r="L107" s="61" t="s">
        <v>1094</v>
      </c>
      <c r="M107" s="76" t="s">
        <v>281</v>
      </c>
    </row>
    <row r="108" spans="1:13" ht="33.75" x14ac:dyDescent="0.25">
      <c r="A108" s="15" t="s">
        <v>68</v>
      </c>
      <c r="B108" s="15">
        <v>5.6</v>
      </c>
      <c r="C108" s="8" t="s">
        <v>66</v>
      </c>
      <c r="D108" s="61" t="s">
        <v>125</v>
      </c>
      <c r="E108" s="77" t="s">
        <v>282</v>
      </c>
      <c r="F108" s="92" t="s">
        <v>28</v>
      </c>
      <c r="G108" s="92">
        <v>1.0164893617021278</v>
      </c>
      <c r="H108" s="77">
        <v>1</v>
      </c>
      <c r="I108" s="77">
        <v>1</v>
      </c>
      <c r="J108" s="60">
        <v>4.3452380952380949</v>
      </c>
      <c r="K108" s="42">
        <f t="shared" si="3"/>
        <v>0.23393179830953079</v>
      </c>
      <c r="L108" s="61" t="s">
        <v>1095</v>
      </c>
      <c r="M108" s="103" t="s">
        <v>152</v>
      </c>
    </row>
    <row r="109" spans="1:13" ht="33.75" x14ac:dyDescent="0.25">
      <c r="A109" s="10" t="s">
        <v>68</v>
      </c>
      <c r="B109" s="10">
        <v>5.6</v>
      </c>
      <c r="C109" s="8" t="s">
        <v>66</v>
      </c>
      <c r="D109" s="77" t="s">
        <v>125</v>
      </c>
      <c r="E109" s="77" t="s">
        <v>283</v>
      </c>
      <c r="F109" s="92" t="s">
        <v>28</v>
      </c>
      <c r="G109" s="92">
        <v>4.5177304964539013</v>
      </c>
      <c r="H109" s="77">
        <v>1</v>
      </c>
      <c r="I109" s="59">
        <v>1</v>
      </c>
      <c r="J109" s="102">
        <f>365/84*6</f>
        <v>26.071428571428569</v>
      </c>
      <c r="K109" s="42">
        <f t="shared" si="3"/>
        <v>0.17328281356261541</v>
      </c>
      <c r="L109" s="77" t="s">
        <v>1096</v>
      </c>
      <c r="M109" s="103" t="s">
        <v>284</v>
      </c>
    </row>
    <row r="110" spans="1:13" ht="33.75" x14ac:dyDescent="0.25">
      <c r="A110" s="15" t="s">
        <v>68</v>
      </c>
      <c r="B110" s="15">
        <v>5.6</v>
      </c>
      <c r="C110" s="8" t="s">
        <v>66</v>
      </c>
      <c r="D110" s="61" t="s">
        <v>125</v>
      </c>
      <c r="E110" s="77" t="s">
        <v>155</v>
      </c>
      <c r="F110" s="92" t="s">
        <v>28</v>
      </c>
      <c r="G110" s="92">
        <v>1.0729609929078014</v>
      </c>
      <c r="H110" s="77">
        <v>1</v>
      </c>
      <c r="I110" s="77">
        <v>1</v>
      </c>
      <c r="J110" s="60">
        <v>4.3499999999999996</v>
      </c>
      <c r="K110" s="42">
        <f t="shared" si="3"/>
        <v>0.24665769951903482</v>
      </c>
      <c r="L110" s="61" t="s">
        <v>1097</v>
      </c>
      <c r="M110" s="103" t="s">
        <v>285</v>
      </c>
    </row>
    <row r="111" spans="1:13" ht="22.5" x14ac:dyDescent="0.25">
      <c r="A111" s="15" t="s">
        <v>68</v>
      </c>
      <c r="B111" s="15">
        <v>5.6</v>
      </c>
      <c r="C111" s="8" t="s">
        <v>66</v>
      </c>
      <c r="D111" s="61" t="s">
        <v>125</v>
      </c>
      <c r="E111" s="77" t="s">
        <v>286</v>
      </c>
      <c r="F111" s="92" t="s">
        <v>28</v>
      </c>
      <c r="G111" s="92">
        <v>1.8635638297872341</v>
      </c>
      <c r="H111" s="77">
        <v>1</v>
      </c>
      <c r="I111" s="59">
        <v>1</v>
      </c>
      <c r="J111" s="102">
        <f>365/84*18</f>
        <v>78.214285714285708</v>
      </c>
      <c r="K111" s="42">
        <f t="shared" si="3"/>
        <v>2.3826386864859616E-2</v>
      </c>
      <c r="L111" s="77" t="s">
        <v>796</v>
      </c>
      <c r="M111" s="8" t="s">
        <v>287</v>
      </c>
    </row>
    <row r="112" spans="1:13" ht="22.5" x14ac:dyDescent="0.25">
      <c r="A112" s="15" t="s">
        <v>68</v>
      </c>
      <c r="B112" s="1">
        <v>5.6</v>
      </c>
      <c r="C112" s="8" t="s">
        <v>66</v>
      </c>
      <c r="D112" s="61" t="s">
        <v>125</v>
      </c>
      <c r="E112" s="61" t="s">
        <v>141</v>
      </c>
      <c r="F112" s="94" t="s">
        <v>28</v>
      </c>
      <c r="G112" s="92">
        <v>0.45177304964539017</v>
      </c>
      <c r="H112" s="61">
        <v>8</v>
      </c>
      <c r="I112" s="61">
        <v>1</v>
      </c>
      <c r="J112" s="98">
        <v>8</v>
      </c>
      <c r="K112" s="42">
        <f t="shared" si="3"/>
        <v>5.6471631205673771E-2</v>
      </c>
      <c r="L112" s="61" t="s">
        <v>1098</v>
      </c>
      <c r="M112" s="108" t="s">
        <v>142</v>
      </c>
    </row>
    <row r="113" spans="1:14" ht="22.5" x14ac:dyDescent="0.25">
      <c r="A113" s="10" t="s">
        <v>68</v>
      </c>
      <c r="B113" s="1">
        <v>5.6</v>
      </c>
      <c r="C113" s="8" t="s">
        <v>66</v>
      </c>
      <c r="D113" s="61" t="s">
        <v>125</v>
      </c>
      <c r="E113" s="77" t="s">
        <v>288</v>
      </c>
      <c r="F113" s="92" t="s">
        <v>28</v>
      </c>
      <c r="G113" s="92">
        <v>1.1294326241134753</v>
      </c>
      <c r="H113" s="77">
        <v>5</v>
      </c>
      <c r="I113" s="59">
        <v>1</v>
      </c>
      <c r="J113" s="102">
        <v>5</v>
      </c>
      <c r="K113" s="42">
        <f t="shared" si="3"/>
        <v>0.22588652482269506</v>
      </c>
      <c r="L113" s="61" t="s">
        <v>1099</v>
      </c>
      <c r="M113" s="8" t="s">
        <v>289</v>
      </c>
    </row>
    <row r="114" spans="1:14" ht="22.5" x14ac:dyDescent="0.25">
      <c r="A114" s="10" t="s">
        <v>68</v>
      </c>
      <c r="B114" s="10">
        <v>5.6</v>
      </c>
      <c r="C114" s="8" t="s">
        <v>66</v>
      </c>
      <c r="D114" s="77" t="s">
        <v>125</v>
      </c>
      <c r="E114" s="77" t="s">
        <v>151</v>
      </c>
      <c r="F114" s="94" t="s">
        <v>28</v>
      </c>
      <c r="G114" s="92">
        <v>1.468262411347518</v>
      </c>
      <c r="H114" s="61">
        <v>1</v>
      </c>
      <c r="I114" s="99">
        <v>1</v>
      </c>
      <c r="J114" s="60">
        <f>365/84*8</f>
        <v>34.761904761904759</v>
      </c>
      <c r="K114" s="42">
        <f t="shared" si="3"/>
        <v>4.2237685805887507E-2</v>
      </c>
      <c r="L114" s="77" t="s">
        <v>797</v>
      </c>
      <c r="M114" s="10" t="s">
        <v>290</v>
      </c>
    </row>
    <row r="115" spans="1:14" ht="22.5" x14ac:dyDescent="0.25">
      <c r="A115" s="10" t="s">
        <v>68</v>
      </c>
      <c r="B115" s="10">
        <v>5.6</v>
      </c>
      <c r="C115" s="8" t="s">
        <v>66</v>
      </c>
      <c r="D115" s="77" t="s">
        <v>125</v>
      </c>
      <c r="E115" s="77" t="s">
        <v>149</v>
      </c>
      <c r="F115" s="94" t="s">
        <v>28</v>
      </c>
      <c r="G115" s="92">
        <v>1.5247340425531919</v>
      </c>
      <c r="H115" s="61">
        <v>1</v>
      </c>
      <c r="I115" s="99">
        <v>1</v>
      </c>
      <c r="J115" s="102">
        <f>365/84*3</f>
        <v>13.035714285714285</v>
      </c>
      <c r="K115" s="42">
        <f t="shared" si="3"/>
        <v>0.11696589915476542</v>
      </c>
      <c r="L115" s="77" t="s">
        <v>1100</v>
      </c>
      <c r="M115" s="103" t="s">
        <v>150</v>
      </c>
    </row>
    <row r="116" spans="1:14" ht="22.5" x14ac:dyDescent="0.25">
      <c r="A116" s="10" t="s">
        <v>68</v>
      </c>
      <c r="B116" s="10">
        <v>5.6</v>
      </c>
      <c r="C116" s="8" t="s">
        <v>66</v>
      </c>
      <c r="D116" s="77" t="s">
        <v>125</v>
      </c>
      <c r="E116" s="77" t="s">
        <v>153</v>
      </c>
      <c r="F116" s="92" t="s">
        <v>28</v>
      </c>
      <c r="G116" s="92">
        <v>1.1294326241134753</v>
      </c>
      <c r="H116" s="77">
        <v>1</v>
      </c>
      <c r="I116" s="77">
        <v>1</v>
      </c>
      <c r="J116" s="102">
        <f>365/84*3</f>
        <v>13.035714285714285</v>
      </c>
      <c r="K116" s="42">
        <f t="shared" si="3"/>
        <v>8.6641406781307703E-2</v>
      </c>
      <c r="L116" s="77" t="s">
        <v>1101</v>
      </c>
      <c r="M116" s="103" t="s">
        <v>154</v>
      </c>
    </row>
    <row r="117" spans="1:14" ht="22.5" x14ac:dyDescent="0.25">
      <c r="A117" s="10" t="s">
        <v>68</v>
      </c>
      <c r="B117" s="10">
        <v>5.5</v>
      </c>
      <c r="C117" s="8" t="s">
        <v>66</v>
      </c>
      <c r="D117" s="77" t="s">
        <v>291</v>
      </c>
      <c r="E117" s="77" t="s">
        <v>292</v>
      </c>
      <c r="F117" s="92" t="s">
        <v>73</v>
      </c>
      <c r="G117" s="42">
        <v>17.864668483197097</v>
      </c>
      <c r="H117" s="77">
        <v>40</v>
      </c>
      <c r="I117" s="77">
        <v>1</v>
      </c>
      <c r="J117" s="60">
        <f>365/7*20</f>
        <v>1042.8571428571429</v>
      </c>
      <c r="K117" s="42">
        <f t="shared" si="3"/>
        <v>1.7130504024983517E-2</v>
      </c>
      <c r="L117" s="77" t="s">
        <v>293</v>
      </c>
      <c r="M117" s="106" t="s">
        <v>294</v>
      </c>
    </row>
    <row r="118" spans="1:14" ht="67.5" x14ac:dyDescent="0.25">
      <c r="A118" s="10" t="s">
        <v>68</v>
      </c>
      <c r="B118" s="10">
        <v>5.6</v>
      </c>
      <c r="C118" s="8" t="s">
        <v>66</v>
      </c>
      <c r="D118" s="77" t="s">
        <v>291</v>
      </c>
      <c r="E118" s="77" t="s">
        <v>156</v>
      </c>
      <c r="F118" s="92" t="s">
        <v>27</v>
      </c>
      <c r="G118" s="92">
        <v>4.0659574468085111</v>
      </c>
      <c r="H118" s="77">
        <v>1</v>
      </c>
      <c r="I118" s="77">
        <v>1</v>
      </c>
      <c r="J118" s="60">
        <f>365/7*5</f>
        <v>260.71428571428572</v>
      </c>
      <c r="K118" s="42">
        <f t="shared" si="3"/>
        <v>1.5595453220635385E-2</v>
      </c>
      <c r="L118" s="17" t="s">
        <v>295</v>
      </c>
      <c r="M118" s="76" t="s">
        <v>296</v>
      </c>
    </row>
    <row r="119" spans="1:14" ht="22.5" x14ac:dyDescent="0.25">
      <c r="A119" s="10" t="s">
        <v>68</v>
      </c>
      <c r="B119" s="10">
        <v>5.6</v>
      </c>
      <c r="C119" s="8" t="s">
        <v>66</v>
      </c>
      <c r="D119" s="77" t="s">
        <v>291</v>
      </c>
      <c r="E119" s="77" t="s">
        <v>297</v>
      </c>
      <c r="F119" s="92" t="s">
        <v>27</v>
      </c>
      <c r="G119" s="92">
        <v>2.5412234042553195</v>
      </c>
      <c r="H119" s="77">
        <v>1</v>
      </c>
      <c r="I119" s="77">
        <v>1</v>
      </c>
      <c r="J119" s="60">
        <f>365/7*5</f>
        <v>260.71428571428572</v>
      </c>
      <c r="K119" s="42">
        <f t="shared" si="3"/>
        <v>9.7471582628971161E-3</v>
      </c>
      <c r="L119" s="77" t="s">
        <v>298</v>
      </c>
      <c r="M119" s="109" t="s">
        <v>299</v>
      </c>
    </row>
    <row r="120" spans="1:14" ht="22.5" x14ac:dyDescent="0.25">
      <c r="A120" s="10" t="s">
        <v>68</v>
      </c>
      <c r="B120" s="10">
        <v>5.5</v>
      </c>
      <c r="C120" s="8" t="s">
        <v>66</v>
      </c>
      <c r="D120" s="8" t="s">
        <v>157</v>
      </c>
      <c r="E120" s="8" t="s">
        <v>71</v>
      </c>
      <c r="F120" s="8" t="s">
        <v>50</v>
      </c>
      <c r="G120" s="42">
        <v>5</v>
      </c>
      <c r="H120" s="43">
        <v>1</v>
      </c>
      <c r="I120" s="89">
        <v>1</v>
      </c>
      <c r="J120" s="44">
        <f>365/7*5</f>
        <v>260.71428571428572</v>
      </c>
      <c r="K120" s="42">
        <f t="shared" si="3"/>
        <v>1.9178082191780823E-2</v>
      </c>
      <c r="L120" s="8" t="s">
        <v>981</v>
      </c>
      <c r="M120" s="91" t="s">
        <v>982</v>
      </c>
    </row>
    <row r="121" spans="1:14" s="110" customFormat="1" ht="22.5" x14ac:dyDescent="0.2">
      <c r="A121" s="15" t="s">
        <v>68</v>
      </c>
      <c r="B121" s="15">
        <v>4.3</v>
      </c>
      <c r="C121" s="8" t="s">
        <v>66</v>
      </c>
      <c r="D121" s="3" t="s">
        <v>157</v>
      </c>
      <c r="E121" s="77" t="s">
        <v>1102</v>
      </c>
      <c r="F121" s="92"/>
      <c r="G121" s="58">
        <v>4000</v>
      </c>
      <c r="H121" s="77"/>
      <c r="I121" s="59">
        <v>1</v>
      </c>
      <c r="J121" s="92">
        <f>365/7*30</f>
        <v>1564.2857142857144</v>
      </c>
      <c r="K121" s="42">
        <f t="shared" si="3"/>
        <v>2.5570776255707761</v>
      </c>
      <c r="L121" s="80" t="s">
        <v>1103</v>
      </c>
      <c r="M121" s="77" t="s">
        <v>1104</v>
      </c>
      <c r="N121" s="1"/>
    </row>
    <row r="122" spans="1:14" s="110" customFormat="1" ht="22.5" x14ac:dyDescent="0.2">
      <c r="A122" s="10" t="s">
        <v>68</v>
      </c>
      <c r="B122" s="10">
        <v>5.0999999999999996</v>
      </c>
      <c r="C122" s="8" t="s">
        <v>66</v>
      </c>
      <c r="D122" s="61" t="s">
        <v>157</v>
      </c>
      <c r="E122" s="61" t="s">
        <v>1008</v>
      </c>
      <c r="F122" s="2"/>
      <c r="G122" s="42">
        <v>0</v>
      </c>
      <c r="H122" s="61"/>
      <c r="I122" s="98">
        <v>0</v>
      </c>
      <c r="J122" s="92">
        <v>0</v>
      </c>
      <c r="K122" s="42">
        <v>0</v>
      </c>
      <c r="L122" s="8"/>
      <c r="M122" s="3" t="s">
        <v>1105</v>
      </c>
      <c r="N122" s="1"/>
    </row>
    <row r="123" spans="1:14" ht="33.75" x14ac:dyDescent="0.25">
      <c r="A123" s="61" t="s">
        <v>68</v>
      </c>
      <c r="B123" s="1">
        <v>5.2</v>
      </c>
      <c r="C123" s="8" t="s">
        <v>66</v>
      </c>
      <c r="D123" s="100" t="s">
        <v>157</v>
      </c>
      <c r="E123" s="8" t="s">
        <v>89</v>
      </c>
      <c r="F123" s="8" t="s">
        <v>73</v>
      </c>
      <c r="G123" s="42">
        <v>14.885741265344665</v>
      </c>
      <c r="H123" s="43"/>
      <c r="I123" s="43">
        <v>1</v>
      </c>
      <c r="J123" s="44">
        <f>365/7*5</f>
        <v>260.71428571428572</v>
      </c>
      <c r="K123" s="42">
        <f t="shared" ref="K123:K154" si="4">G123*I123/J123</f>
        <v>5.7095993894472688E-2</v>
      </c>
      <c r="L123" s="8" t="s">
        <v>201</v>
      </c>
      <c r="M123" s="8" t="s">
        <v>90</v>
      </c>
    </row>
    <row r="124" spans="1:14" ht="22.5" x14ac:dyDescent="0.25">
      <c r="A124" s="77" t="s">
        <v>68</v>
      </c>
      <c r="B124" s="12">
        <v>5.0999999999999996</v>
      </c>
      <c r="C124" s="8" t="s">
        <v>66</v>
      </c>
      <c r="D124" s="8" t="s">
        <v>157</v>
      </c>
      <c r="E124" s="8" t="s">
        <v>158</v>
      </c>
      <c r="F124" s="61" t="s">
        <v>83</v>
      </c>
      <c r="G124" s="95">
        <v>21.682242990654203</v>
      </c>
      <c r="H124" s="61">
        <v>1</v>
      </c>
      <c r="I124" s="104">
        <v>1</v>
      </c>
      <c r="J124" s="98">
        <f>365/7*20</f>
        <v>1042.8571428571429</v>
      </c>
      <c r="K124" s="42">
        <f t="shared" si="4"/>
        <v>2.0791191908846495E-2</v>
      </c>
      <c r="L124" s="77" t="s">
        <v>1106</v>
      </c>
      <c r="M124" s="77" t="s">
        <v>300</v>
      </c>
    </row>
    <row r="125" spans="1:14" ht="22.5" x14ac:dyDescent="0.25">
      <c r="A125" s="77" t="s">
        <v>68</v>
      </c>
      <c r="B125" s="12">
        <v>5.6</v>
      </c>
      <c r="C125" s="8" t="s">
        <v>66</v>
      </c>
      <c r="D125" s="8" t="s">
        <v>157</v>
      </c>
      <c r="E125" s="8" t="s">
        <v>164</v>
      </c>
      <c r="F125" s="61" t="s">
        <v>28</v>
      </c>
      <c r="G125" s="92">
        <v>0.84707446808510656</v>
      </c>
      <c r="H125" s="61">
        <v>1</v>
      </c>
      <c r="I125" s="61">
        <v>1</v>
      </c>
      <c r="J125" s="60">
        <f>365/7</f>
        <v>52.142857142857146</v>
      </c>
      <c r="K125" s="42">
        <f t="shared" si="4"/>
        <v>1.6245263771495193E-2</v>
      </c>
      <c r="L125" s="77" t="s">
        <v>1107</v>
      </c>
      <c r="M125" s="61" t="s">
        <v>165</v>
      </c>
    </row>
    <row r="126" spans="1:14" ht="22.5" x14ac:dyDescent="0.25">
      <c r="A126" s="77" t="s">
        <v>68</v>
      </c>
      <c r="B126" s="12">
        <v>5.2</v>
      </c>
      <c r="C126" s="8" t="s">
        <v>66</v>
      </c>
      <c r="D126" s="8" t="s">
        <v>157</v>
      </c>
      <c r="E126" s="8" t="s">
        <v>301</v>
      </c>
      <c r="F126" s="77" t="s">
        <v>78</v>
      </c>
      <c r="G126" s="42">
        <v>18.075542965061377</v>
      </c>
      <c r="H126" s="77">
        <v>1</v>
      </c>
      <c r="I126" s="77">
        <v>4</v>
      </c>
      <c r="J126" s="60">
        <f>365/7*5</f>
        <v>260.71428571428572</v>
      </c>
      <c r="K126" s="42">
        <f t="shared" si="4"/>
        <v>0.27732339891601016</v>
      </c>
      <c r="L126" s="77" t="s">
        <v>1108</v>
      </c>
      <c r="M126" s="77" t="s">
        <v>302</v>
      </c>
    </row>
    <row r="127" spans="1:14" ht="22.5" x14ac:dyDescent="0.25">
      <c r="A127" s="10" t="s">
        <v>68</v>
      </c>
      <c r="B127" s="10">
        <v>5.2</v>
      </c>
      <c r="C127" s="8" t="s">
        <v>66</v>
      </c>
      <c r="D127" s="8" t="s">
        <v>157</v>
      </c>
      <c r="E127" s="8" t="s">
        <v>147</v>
      </c>
      <c r="F127" s="77" t="s">
        <v>78</v>
      </c>
      <c r="G127" s="42">
        <v>5.3163361661945228</v>
      </c>
      <c r="H127" s="77">
        <v>1</v>
      </c>
      <c r="I127" s="77">
        <v>4</v>
      </c>
      <c r="J127" s="60">
        <f>365/7*5</f>
        <v>260.71428571428572</v>
      </c>
      <c r="K127" s="42">
        <f t="shared" si="4"/>
        <v>8.1565705563532404E-2</v>
      </c>
      <c r="L127" s="77" t="s">
        <v>1108</v>
      </c>
      <c r="M127" s="77" t="s">
        <v>303</v>
      </c>
    </row>
    <row r="128" spans="1:14" ht="22.5" x14ac:dyDescent="0.25">
      <c r="A128" s="77" t="s">
        <v>68</v>
      </c>
      <c r="B128" s="12">
        <v>5.2</v>
      </c>
      <c r="C128" s="8" t="s">
        <v>66</v>
      </c>
      <c r="D128" s="8" t="s">
        <v>157</v>
      </c>
      <c r="E128" s="8" t="s">
        <v>159</v>
      </c>
      <c r="F128" s="77" t="s">
        <v>78</v>
      </c>
      <c r="G128" s="42">
        <v>1.2759206798866856</v>
      </c>
      <c r="H128" s="77">
        <v>1</v>
      </c>
      <c r="I128" s="77">
        <v>4</v>
      </c>
      <c r="J128" s="60">
        <f>365/7*5</f>
        <v>260.71428571428572</v>
      </c>
      <c r="K128" s="42">
        <f t="shared" si="4"/>
        <v>1.9575769335247777E-2</v>
      </c>
      <c r="L128" s="77" t="s">
        <v>1108</v>
      </c>
      <c r="M128" s="77" t="s">
        <v>304</v>
      </c>
    </row>
    <row r="129" spans="1:13" ht="22.5" x14ac:dyDescent="0.25">
      <c r="A129" s="10" t="s">
        <v>68</v>
      </c>
      <c r="B129" s="10">
        <v>5.2</v>
      </c>
      <c r="C129" s="8" t="s">
        <v>66</v>
      </c>
      <c r="D129" s="8" t="s">
        <v>157</v>
      </c>
      <c r="E129" s="8" t="s">
        <v>160</v>
      </c>
      <c r="F129" s="77" t="s">
        <v>50</v>
      </c>
      <c r="G129" s="42">
        <v>5.3163361661945228</v>
      </c>
      <c r="H129" s="77">
        <v>1</v>
      </c>
      <c r="I129" s="59">
        <v>1</v>
      </c>
      <c r="J129" s="60">
        <f>365/7*5</f>
        <v>260.71428571428572</v>
      </c>
      <c r="K129" s="42">
        <f t="shared" si="4"/>
        <v>2.0391426390883101E-2</v>
      </c>
      <c r="L129" s="77" t="s">
        <v>1109</v>
      </c>
      <c r="M129" s="8" t="s">
        <v>305</v>
      </c>
    </row>
    <row r="130" spans="1:13" ht="33.75" x14ac:dyDescent="0.25">
      <c r="A130" s="10" t="s">
        <v>68</v>
      </c>
      <c r="B130" s="10">
        <v>5.2</v>
      </c>
      <c r="C130" s="8" t="s">
        <v>66</v>
      </c>
      <c r="D130" s="8" t="s">
        <v>157</v>
      </c>
      <c r="E130" s="8" t="s">
        <v>306</v>
      </c>
      <c r="F130" s="77" t="s">
        <v>50</v>
      </c>
      <c r="G130" s="42">
        <v>4.2530689329556184</v>
      </c>
      <c r="H130" s="77">
        <v>1</v>
      </c>
      <c r="I130" s="77">
        <v>1</v>
      </c>
      <c r="J130" s="60">
        <f>365/7*2</f>
        <v>104.28571428571429</v>
      </c>
      <c r="K130" s="42">
        <f t="shared" si="4"/>
        <v>4.0782852781766202E-2</v>
      </c>
      <c r="L130" s="77" t="s">
        <v>1110</v>
      </c>
      <c r="M130" s="77" t="s">
        <v>307</v>
      </c>
    </row>
    <row r="131" spans="1:13" ht="33.75" x14ac:dyDescent="0.25">
      <c r="A131" s="10" t="s">
        <v>68</v>
      </c>
      <c r="B131" s="10">
        <v>5.4</v>
      </c>
      <c r="C131" s="8" t="s">
        <v>66</v>
      </c>
      <c r="D131" s="77" t="s">
        <v>157</v>
      </c>
      <c r="E131" s="77" t="s">
        <v>308</v>
      </c>
      <c r="F131" s="92" t="s">
        <v>73</v>
      </c>
      <c r="G131" s="92">
        <v>6.1652892561983474</v>
      </c>
      <c r="H131" s="77">
        <v>1</v>
      </c>
      <c r="I131" s="59">
        <v>1</v>
      </c>
      <c r="J131" s="60">
        <f>365/7*10</f>
        <v>521.42857142857144</v>
      </c>
      <c r="K131" s="42">
        <f t="shared" si="4"/>
        <v>1.1823842409147516E-2</v>
      </c>
      <c r="L131" s="77" t="s">
        <v>309</v>
      </c>
      <c r="M131" s="8" t="s">
        <v>310</v>
      </c>
    </row>
    <row r="132" spans="1:13" ht="33.75" x14ac:dyDescent="0.25">
      <c r="A132" s="77" t="s">
        <v>68</v>
      </c>
      <c r="B132" s="12">
        <v>5.2</v>
      </c>
      <c r="C132" s="8" t="s">
        <v>66</v>
      </c>
      <c r="D132" s="8" t="s">
        <v>157</v>
      </c>
      <c r="E132" s="8" t="s">
        <v>161</v>
      </c>
      <c r="F132" s="77" t="s">
        <v>73</v>
      </c>
      <c r="G132" s="92">
        <v>6.379603399433428</v>
      </c>
      <c r="H132" s="77">
        <v>1</v>
      </c>
      <c r="I132" s="101">
        <v>2</v>
      </c>
      <c r="J132" s="60">
        <f>365/7*4</f>
        <v>208.57142857142858</v>
      </c>
      <c r="K132" s="42">
        <f t="shared" si="4"/>
        <v>6.117427917264931E-2</v>
      </c>
      <c r="L132" s="77" t="s">
        <v>1111</v>
      </c>
      <c r="M132" s="8" t="s">
        <v>162</v>
      </c>
    </row>
    <row r="133" spans="1:13" ht="56.25" x14ac:dyDescent="0.25">
      <c r="A133" s="77" t="s">
        <v>68</v>
      </c>
      <c r="B133" s="12">
        <v>5.0999999999999996</v>
      </c>
      <c r="C133" s="8" t="s">
        <v>66</v>
      </c>
      <c r="D133" s="8" t="s">
        <v>157</v>
      </c>
      <c r="E133" s="3" t="s">
        <v>311</v>
      </c>
      <c r="F133" s="80" t="s">
        <v>73</v>
      </c>
      <c r="G133" s="95">
        <v>10.841121495327101</v>
      </c>
      <c r="H133" s="80">
        <v>1</v>
      </c>
      <c r="I133" s="43">
        <v>1</v>
      </c>
      <c r="J133" s="44">
        <f>365/7*5</f>
        <v>260.71428571428572</v>
      </c>
      <c r="K133" s="42">
        <f t="shared" si="4"/>
        <v>4.158238381769299E-2</v>
      </c>
      <c r="L133" s="76" t="s">
        <v>1112</v>
      </c>
      <c r="M133" s="8" t="s">
        <v>312</v>
      </c>
    </row>
    <row r="134" spans="1:13" ht="56.25" x14ac:dyDescent="0.25">
      <c r="A134" s="77" t="s">
        <v>68</v>
      </c>
      <c r="B134" s="12">
        <v>12.1</v>
      </c>
      <c r="C134" s="8" t="s">
        <v>66</v>
      </c>
      <c r="D134" s="8" t="s">
        <v>157</v>
      </c>
      <c r="E134" s="3" t="s">
        <v>122</v>
      </c>
      <c r="F134" s="80" t="s">
        <v>50</v>
      </c>
      <c r="G134" s="42">
        <v>13.18888888888889</v>
      </c>
      <c r="H134" s="80">
        <v>1</v>
      </c>
      <c r="I134" s="43">
        <v>1</v>
      </c>
      <c r="J134" s="44">
        <f>365/7*20</f>
        <v>1042.8571428571429</v>
      </c>
      <c r="K134" s="42">
        <f t="shared" si="4"/>
        <v>1.2646879756468799E-2</v>
      </c>
      <c r="L134" s="76" t="s">
        <v>1113</v>
      </c>
      <c r="M134" s="111" t="s">
        <v>167</v>
      </c>
    </row>
    <row r="135" spans="1:13" ht="22.5" x14ac:dyDescent="0.25">
      <c r="A135" s="77" t="s">
        <v>68</v>
      </c>
      <c r="B135" s="12">
        <v>5.6</v>
      </c>
      <c r="C135" s="8" t="s">
        <v>66</v>
      </c>
      <c r="D135" s="8" t="s">
        <v>157</v>
      </c>
      <c r="E135" s="8" t="s">
        <v>166</v>
      </c>
      <c r="F135" s="80" t="s">
        <v>27</v>
      </c>
      <c r="G135" s="92">
        <v>1.3553191489361704</v>
      </c>
      <c r="H135" s="80">
        <v>1</v>
      </c>
      <c r="I135" s="43">
        <v>1</v>
      </c>
      <c r="J135" s="44">
        <f>365/7</f>
        <v>52.142857142857146</v>
      </c>
      <c r="K135" s="42">
        <f t="shared" si="4"/>
        <v>2.599242203439231E-2</v>
      </c>
      <c r="L135" s="76" t="s">
        <v>1114</v>
      </c>
      <c r="M135" s="8" t="s">
        <v>313</v>
      </c>
    </row>
    <row r="136" spans="1:13" ht="22.5" x14ac:dyDescent="0.25">
      <c r="A136" s="77" t="s">
        <v>68</v>
      </c>
      <c r="B136" s="12">
        <v>5.6</v>
      </c>
      <c r="C136" s="8" t="s">
        <v>66</v>
      </c>
      <c r="D136" s="8" t="s">
        <v>157</v>
      </c>
      <c r="E136" s="61" t="s">
        <v>163</v>
      </c>
      <c r="F136" s="80" t="s">
        <v>28</v>
      </c>
      <c r="G136" s="92">
        <v>0.50824468085106389</v>
      </c>
      <c r="H136" s="61">
        <v>1</v>
      </c>
      <c r="I136" s="104">
        <v>1</v>
      </c>
      <c r="J136" s="98">
        <f>365/84</f>
        <v>4.3452380952380949</v>
      </c>
      <c r="K136" s="42">
        <f t="shared" si="4"/>
        <v>0.11696589915476539</v>
      </c>
      <c r="L136" s="77" t="s">
        <v>1115</v>
      </c>
      <c r="M136" s="8" t="s">
        <v>314</v>
      </c>
    </row>
    <row r="137" spans="1:13" ht="22.5" x14ac:dyDescent="0.25">
      <c r="A137" s="10" t="s">
        <v>68</v>
      </c>
      <c r="B137" s="10">
        <v>5.6</v>
      </c>
      <c r="C137" s="8" t="s">
        <v>66</v>
      </c>
      <c r="D137" s="8" t="s">
        <v>157</v>
      </c>
      <c r="E137" s="77" t="s">
        <v>155</v>
      </c>
      <c r="F137" s="92" t="s">
        <v>28</v>
      </c>
      <c r="G137" s="92">
        <v>1.0729609929078014</v>
      </c>
      <c r="H137" s="77">
        <v>1</v>
      </c>
      <c r="I137" s="77">
        <v>1</v>
      </c>
      <c r="J137" s="60">
        <v>2</v>
      </c>
      <c r="K137" s="42">
        <f t="shared" si="4"/>
        <v>0.53648049645390072</v>
      </c>
      <c r="L137" s="61" t="s">
        <v>1116</v>
      </c>
      <c r="M137" s="103" t="s">
        <v>285</v>
      </c>
    </row>
    <row r="138" spans="1:13" ht="33.75" x14ac:dyDescent="0.25">
      <c r="A138" s="10" t="s">
        <v>68</v>
      </c>
      <c r="B138" s="10">
        <v>5.6</v>
      </c>
      <c r="C138" s="8" t="s">
        <v>66</v>
      </c>
      <c r="D138" s="8" t="s">
        <v>157</v>
      </c>
      <c r="E138" s="8" t="s">
        <v>315</v>
      </c>
      <c r="F138" s="80" t="s">
        <v>28</v>
      </c>
      <c r="G138" s="92">
        <v>1.0164893617021278</v>
      </c>
      <c r="H138" s="61">
        <v>1</v>
      </c>
      <c r="I138" s="104">
        <v>1</v>
      </c>
      <c r="J138" s="98">
        <f>365/84*2</f>
        <v>8.6904761904761898</v>
      </c>
      <c r="K138" s="42">
        <f t="shared" si="4"/>
        <v>0.11696589915476539</v>
      </c>
      <c r="L138" s="77" t="s">
        <v>1117</v>
      </c>
      <c r="M138" s="8" t="s">
        <v>316</v>
      </c>
    </row>
    <row r="139" spans="1:13" ht="45" x14ac:dyDescent="0.25">
      <c r="A139" s="77" t="s">
        <v>68</v>
      </c>
      <c r="B139" s="12">
        <v>5.4</v>
      </c>
      <c r="C139" s="8" t="s">
        <v>66</v>
      </c>
      <c r="D139" s="8" t="s">
        <v>157</v>
      </c>
      <c r="E139" s="8" t="s">
        <v>82</v>
      </c>
      <c r="F139" s="77" t="s">
        <v>27</v>
      </c>
      <c r="G139" s="92">
        <v>5.6515151515151523</v>
      </c>
      <c r="H139" s="77">
        <v>1</v>
      </c>
      <c r="I139" s="59">
        <v>1</v>
      </c>
      <c r="J139" s="60">
        <f>365/7*5</f>
        <v>260.71428571428572</v>
      </c>
      <c r="K139" s="42">
        <f t="shared" si="4"/>
        <v>2.1677044416770447E-2</v>
      </c>
      <c r="L139" s="77" t="s">
        <v>317</v>
      </c>
      <c r="M139" s="107" t="s">
        <v>318</v>
      </c>
    </row>
    <row r="140" spans="1:13" ht="22.5" x14ac:dyDescent="0.25">
      <c r="A140" s="77" t="s">
        <v>68</v>
      </c>
      <c r="B140" s="12">
        <v>5.6</v>
      </c>
      <c r="C140" s="8" t="s">
        <v>66</v>
      </c>
      <c r="D140" s="8" t="s">
        <v>157</v>
      </c>
      <c r="E140" s="8" t="s">
        <v>126</v>
      </c>
      <c r="F140" s="77" t="s">
        <v>27</v>
      </c>
      <c r="G140" s="92">
        <v>1.1294326241134753</v>
      </c>
      <c r="H140" s="77">
        <v>50</v>
      </c>
      <c r="I140" s="59">
        <v>1</v>
      </c>
      <c r="J140" s="60">
        <v>50</v>
      </c>
      <c r="K140" s="42">
        <f t="shared" si="4"/>
        <v>2.2588652482269506E-2</v>
      </c>
      <c r="L140" s="77" t="s">
        <v>319</v>
      </c>
      <c r="M140" s="8" t="s">
        <v>320</v>
      </c>
    </row>
    <row r="141" spans="1:13" x14ac:dyDescent="0.25">
      <c r="A141" s="10" t="s">
        <v>68</v>
      </c>
      <c r="B141" s="10">
        <v>5.2</v>
      </c>
      <c r="C141" s="8" t="s">
        <v>66</v>
      </c>
      <c r="D141" s="8" t="s">
        <v>903</v>
      </c>
      <c r="E141" s="8" t="s">
        <v>77</v>
      </c>
      <c r="F141" s="10"/>
      <c r="G141" s="42">
        <v>90</v>
      </c>
      <c r="H141" s="43">
        <v>1</v>
      </c>
      <c r="I141" s="43">
        <v>1</v>
      </c>
      <c r="J141" s="44">
        <f>365/7*10</f>
        <v>521.42857142857144</v>
      </c>
      <c r="K141" s="42">
        <f t="shared" si="4"/>
        <v>0.17260273972602738</v>
      </c>
      <c r="L141" s="8"/>
      <c r="M141" s="8" t="s">
        <v>1118</v>
      </c>
    </row>
    <row r="142" spans="1:13" ht="22.5" x14ac:dyDescent="0.25">
      <c r="A142" s="61" t="s">
        <v>68</v>
      </c>
      <c r="B142" s="1">
        <v>5.0999999999999996</v>
      </c>
      <c r="C142" s="8" t="s">
        <v>66</v>
      </c>
      <c r="D142" s="8" t="s">
        <v>903</v>
      </c>
      <c r="E142" s="8" t="s">
        <v>70</v>
      </c>
      <c r="F142" s="8"/>
      <c r="G142" s="42">
        <v>45</v>
      </c>
      <c r="H142" s="43">
        <v>1</v>
      </c>
      <c r="I142" s="89">
        <v>1</v>
      </c>
      <c r="J142" s="44">
        <f>365/7*10</f>
        <v>521.42857142857144</v>
      </c>
      <c r="K142" s="42">
        <f t="shared" si="4"/>
        <v>8.6301369863013691E-2</v>
      </c>
      <c r="L142" s="8"/>
      <c r="M142" s="77" t="s">
        <v>980</v>
      </c>
    </row>
    <row r="143" spans="1:13" ht="22.5" x14ac:dyDescent="0.25">
      <c r="A143" s="10" t="s">
        <v>68</v>
      </c>
      <c r="B143" s="10">
        <v>5.5</v>
      </c>
      <c r="C143" s="8" t="s">
        <v>66</v>
      </c>
      <c r="D143" s="8" t="s">
        <v>903</v>
      </c>
      <c r="E143" s="8" t="s">
        <v>71</v>
      </c>
      <c r="F143" s="8" t="s">
        <v>50</v>
      </c>
      <c r="G143" s="42">
        <v>5</v>
      </c>
      <c r="H143" s="43">
        <v>1</v>
      </c>
      <c r="I143" s="89">
        <v>1</v>
      </c>
      <c r="J143" s="44">
        <f>365/7*5</f>
        <v>260.71428571428572</v>
      </c>
      <c r="K143" s="42">
        <f t="shared" si="4"/>
        <v>1.9178082191780823E-2</v>
      </c>
      <c r="L143" s="8" t="s">
        <v>981</v>
      </c>
      <c r="M143" s="91" t="s">
        <v>982</v>
      </c>
    </row>
    <row r="144" spans="1:13" ht="45" x14ac:dyDescent="0.25">
      <c r="A144" s="10" t="s">
        <v>68</v>
      </c>
      <c r="B144" s="10">
        <v>5.0999999999999996</v>
      </c>
      <c r="C144" s="8" t="s">
        <v>66</v>
      </c>
      <c r="D144" s="77" t="s">
        <v>903</v>
      </c>
      <c r="E144" s="77" t="s">
        <v>168</v>
      </c>
      <c r="F144" s="77" t="s">
        <v>170</v>
      </c>
      <c r="G144" s="95">
        <v>325.23364485981307</v>
      </c>
      <c r="H144" s="77"/>
      <c r="I144" s="77">
        <v>1</v>
      </c>
      <c r="J144" s="44">
        <f>365/7*20</f>
        <v>1042.8571428571429</v>
      </c>
      <c r="K144" s="42">
        <f t="shared" si="4"/>
        <v>0.31186787863269744</v>
      </c>
      <c r="L144" s="77" t="s">
        <v>1119</v>
      </c>
      <c r="M144" s="77" t="s">
        <v>321</v>
      </c>
    </row>
    <row r="145" spans="1:13" ht="45" x14ac:dyDescent="0.25">
      <c r="A145" s="10" t="s">
        <v>68</v>
      </c>
      <c r="B145" s="10">
        <v>5.0999999999999996</v>
      </c>
      <c r="C145" s="8" t="s">
        <v>66</v>
      </c>
      <c r="D145" s="77" t="s">
        <v>903</v>
      </c>
      <c r="E145" s="61" t="s">
        <v>322</v>
      </c>
      <c r="F145" s="8" t="s">
        <v>170</v>
      </c>
      <c r="G145" s="95">
        <v>161.53271028037381</v>
      </c>
      <c r="H145" s="61">
        <v>1</v>
      </c>
      <c r="I145" s="104">
        <v>1</v>
      </c>
      <c r="J145" s="98">
        <f>365/7*20</f>
        <v>1042.8571428571429</v>
      </c>
      <c r="K145" s="42">
        <f t="shared" si="4"/>
        <v>0.15489437972090639</v>
      </c>
      <c r="L145" s="77" t="s">
        <v>1119</v>
      </c>
      <c r="M145" s="8" t="s">
        <v>323</v>
      </c>
    </row>
    <row r="146" spans="1:13" ht="78.75" x14ac:dyDescent="0.25">
      <c r="A146" s="10" t="s">
        <v>68</v>
      </c>
      <c r="B146" s="10">
        <v>5.0999999999999996</v>
      </c>
      <c r="C146" s="8" t="s">
        <v>66</v>
      </c>
      <c r="D146" s="77" t="s">
        <v>903</v>
      </c>
      <c r="E146" s="61" t="s">
        <v>169</v>
      </c>
      <c r="F146" s="8" t="s">
        <v>170</v>
      </c>
      <c r="G146" s="95">
        <v>649.38317757009338</v>
      </c>
      <c r="H146" s="61">
        <v>1</v>
      </c>
      <c r="I146" s="104">
        <v>1</v>
      </c>
      <c r="J146" s="98">
        <f>365/7*8</f>
        <v>417.14285714285717</v>
      </c>
      <c r="K146" s="42">
        <f t="shared" si="4"/>
        <v>1.5567404941748813</v>
      </c>
      <c r="L146" s="77" t="s">
        <v>1120</v>
      </c>
      <c r="M146" s="8" t="s">
        <v>324</v>
      </c>
    </row>
    <row r="147" spans="1:13" ht="33.75" x14ac:dyDescent="0.25">
      <c r="A147" s="10" t="s">
        <v>68</v>
      </c>
      <c r="B147" s="10">
        <v>5.0999999999999996</v>
      </c>
      <c r="C147" s="8" t="s">
        <v>66</v>
      </c>
      <c r="D147" s="77" t="s">
        <v>903</v>
      </c>
      <c r="E147" s="61" t="s">
        <v>172</v>
      </c>
      <c r="F147" s="8" t="s">
        <v>73</v>
      </c>
      <c r="G147" s="92">
        <v>325</v>
      </c>
      <c r="H147" s="61">
        <v>1</v>
      </c>
      <c r="I147" s="104">
        <v>2</v>
      </c>
      <c r="J147" s="98">
        <f>365/7*20</f>
        <v>1042.8571428571429</v>
      </c>
      <c r="K147" s="42">
        <f t="shared" si="4"/>
        <v>0.62328767123287665</v>
      </c>
      <c r="L147" s="77" t="s">
        <v>1121</v>
      </c>
      <c r="M147" s="8" t="s">
        <v>325</v>
      </c>
    </row>
    <row r="148" spans="1:13" ht="33.75" x14ac:dyDescent="0.25">
      <c r="A148" s="10" t="s">
        <v>68</v>
      </c>
      <c r="B148" s="10">
        <v>5.0999999999999996</v>
      </c>
      <c r="C148" s="8" t="s">
        <v>66</v>
      </c>
      <c r="D148" s="77" t="s">
        <v>903</v>
      </c>
      <c r="E148" s="61" t="s">
        <v>173</v>
      </c>
      <c r="F148" s="8" t="s">
        <v>73</v>
      </c>
      <c r="G148" s="95">
        <v>260.18691588785043</v>
      </c>
      <c r="H148" s="61">
        <v>1</v>
      </c>
      <c r="I148" s="104">
        <v>1</v>
      </c>
      <c r="J148" s="98">
        <f>365/7*20</f>
        <v>1042.8571428571429</v>
      </c>
      <c r="K148" s="42">
        <f t="shared" si="4"/>
        <v>0.24949430290615793</v>
      </c>
      <c r="L148" s="77" t="s">
        <v>1122</v>
      </c>
      <c r="M148" s="8" t="s">
        <v>326</v>
      </c>
    </row>
    <row r="149" spans="1:13" ht="33.75" x14ac:dyDescent="0.25">
      <c r="A149" s="10" t="s">
        <v>68</v>
      </c>
      <c r="B149" s="10">
        <v>5.0999999999999996</v>
      </c>
      <c r="C149" s="8" t="s">
        <v>66</v>
      </c>
      <c r="D149" s="77" t="s">
        <v>903</v>
      </c>
      <c r="E149" s="61" t="s">
        <v>174</v>
      </c>
      <c r="F149" s="8" t="s">
        <v>73</v>
      </c>
      <c r="G149" s="95">
        <v>140.93457943925233</v>
      </c>
      <c r="H149" s="61">
        <v>1</v>
      </c>
      <c r="I149" s="104">
        <v>2</v>
      </c>
      <c r="J149" s="98">
        <f>365/7*20</f>
        <v>1042.8571428571429</v>
      </c>
      <c r="K149" s="42">
        <f t="shared" si="4"/>
        <v>0.27028549481500447</v>
      </c>
      <c r="L149" s="77" t="s">
        <v>1123</v>
      </c>
      <c r="M149" s="8" t="s">
        <v>327</v>
      </c>
    </row>
    <row r="150" spans="1:13" ht="45" x14ac:dyDescent="0.25">
      <c r="A150" s="10" t="s">
        <v>68</v>
      </c>
      <c r="B150" s="10">
        <v>5.0999999999999996</v>
      </c>
      <c r="C150" s="8" t="s">
        <v>66</v>
      </c>
      <c r="D150" s="77" t="s">
        <v>903</v>
      </c>
      <c r="E150" s="77" t="s">
        <v>328</v>
      </c>
      <c r="F150" s="77" t="s">
        <v>78</v>
      </c>
      <c r="G150" s="95">
        <v>10.841121495327101</v>
      </c>
      <c r="H150" s="77">
        <v>1</v>
      </c>
      <c r="I150" s="59">
        <v>1</v>
      </c>
      <c r="J150" s="60">
        <f>365/7*20</f>
        <v>1042.8571428571429</v>
      </c>
      <c r="K150" s="42">
        <f t="shared" si="4"/>
        <v>1.0395595954423248E-2</v>
      </c>
      <c r="L150" s="77" t="s">
        <v>1124</v>
      </c>
      <c r="M150" s="8" t="s">
        <v>329</v>
      </c>
    </row>
    <row r="151" spans="1:13" ht="45" x14ac:dyDescent="0.25">
      <c r="A151" s="10" t="s">
        <v>68</v>
      </c>
      <c r="B151" s="10">
        <v>5.0999999999999996</v>
      </c>
      <c r="C151" s="8" t="s">
        <v>66</v>
      </c>
      <c r="D151" s="77" t="s">
        <v>903</v>
      </c>
      <c r="E151" s="61" t="s">
        <v>175</v>
      </c>
      <c r="F151" s="61" t="s">
        <v>27</v>
      </c>
      <c r="G151" s="95">
        <v>10.841121495327101</v>
      </c>
      <c r="H151" s="61">
        <v>1</v>
      </c>
      <c r="I151" s="104">
        <v>2</v>
      </c>
      <c r="J151" s="98">
        <f>365/7*10</f>
        <v>521.42857142857144</v>
      </c>
      <c r="K151" s="42">
        <f t="shared" si="4"/>
        <v>4.158238381769299E-2</v>
      </c>
      <c r="L151" s="77" t="s">
        <v>1125</v>
      </c>
      <c r="M151" s="8" t="s">
        <v>330</v>
      </c>
    </row>
    <row r="152" spans="1:13" ht="33.75" x14ac:dyDescent="0.25">
      <c r="A152" s="10" t="s">
        <v>68</v>
      </c>
      <c r="B152" s="10">
        <v>5.0999999999999996</v>
      </c>
      <c r="C152" s="8" t="s">
        <v>66</v>
      </c>
      <c r="D152" s="77" t="s">
        <v>903</v>
      </c>
      <c r="E152" s="112" t="s">
        <v>331</v>
      </c>
      <c r="F152" s="8" t="s">
        <v>78</v>
      </c>
      <c r="G152" s="95">
        <v>74.803738317757009</v>
      </c>
      <c r="H152" s="61">
        <v>1</v>
      </c>
      <c r="I152" s="104">
        <v>1</v>
      </c>
      <c r="J152" s="98">
        <f>365/7*20</f>
        <v>1042.8571428571429</v>
      </c>
      <c r="K152" s="42">
        <f t="shared" si="4"/>
        <v>7.1729612085520422E-2</v>
      </c>
      <c r="L152" s="77" t="s">
        <v>1126</v>
      </c>
      <c r="M152" s="8" t="s">
        <v>332</v>
      </c>
    </row>
    <row r="153" spans="1:13" ht="33.75" x14ac:dyDescent="0.25">
      <c r="A153" s="10" t="s">
        <v>68</v>
      </c>
      <c r="B153" s="10">
        <v>5.2</v>
      </c>
      <c r="C153" s="8" t="s">
        <v>66</v>
      </c>
      <c r="D153" s="77" t="s">
        <v>903</v>
      </c>
      <c r="E153" s="61" t="s">
        <v>176</v>
      </c>
      <c r="F153" s="77" t="s">
        <v>50</v>
      </c>
      <c r="G153" s="58">
        <v>25</v>
      </c>
      <c r="H153" s="77">
        <v>1</v>
      </c>
      <c r="I153" s="59">
        <v>1</v>
      </c>
      <c r="J153" s="98">
        <f t="shared" ref="J153:J160" si="5">365/7*3</f>
        <v>156.42857142857144</v>
      </c>
      <c r="K153" s="42">
        <f t="shared" si="4"/>
        <v>0.15981735159817351</v>
      </c>
      <c r="L153" s="77" t="s">
        <v>1127</v>
      </c>
      <c r="M153" s="8" t="s">
        <v>333</v>
      </c>
    </row>
    <row r="154" spans="1:13" ht="33.75" x14ac:dyDescent="0.25">
      <c r="A154" s="10" t="s">
        <v>68</v>
      </c>
      <c r="B154" s="10">
        <v>5.2</v>
      </c>
      <c r="C154" s="8" t="s">
        <v>66</v>
      </c>
      <c r="D154" s="77" t="s">
        <v>903</v>
      </c>
      <c r="E154" s="61" t="s">
        <v>177</v>
      </c>
      <c r="F154" s="77" t="s">
        <v>78</v>
      </c>
      <c r="G154" s="58">
        <v>35</v>
      </c>
      <c r="H154" s="77">
        <v>2</v>
      </c>
      <c r="I154" s="59">
        <v>2</v>
      </c>
      <c r="J154" s="98">
        <f t="shared" si="5"/>
        <v>156.42857142857144</v>
      </c>
      <c r="K154" s="42">
        <f t="shared" si="4"/>
        <v>0.44748858447488582</v>
      </c>
      <c r="L154" s="77" t="s">
        <v>1128</v>
      </c>
      <c r="M154" s="8" t="s">
        <v>336</v>
      </c>
    </row>
    <row r="155" spans="1:13" ht="56.25" x14ac:dyDescent="0.25">
      <c r="A155" s="10" t="s">
        <v>68</v>
      </c>
      <c r="B155" s="10">
        <v>5.2</v>
      </c>
      <c r="C155" s="8" t="s">
        <v>66</v>
      </c>
      <c r="D155" s="77" t="s">
        <v>903</v>
      </c>
      <c r="E155" s="61" t="s">
        <v>178</v>
      </c>
      <c r="F155" s="77" t="s">
        <v>50</v>
      </c>
      <c r="G155" s="95">
        <v>8</v>
      </c>
      <c r="H155" s="61">
        <v>1</v>
      </c>
      <c r="I155" s="104">
        <v>3</v>
      </c>
      <c r="J155" s="98">
        <f t="shared" si="5"/>
        <v>156.42857142857144</v>
      </c>
      <c r="K155" s="42">
        <f t="shared" ref="K155:K186" si="6">G155*I155/J155</f>
        <v>0.15342465753424656</v>
      </c>
      <c r="L155" s="77" t="s">
        <v>1129</v>
      </c>
      <c r="M155" s="8" t="s">
        <v>337</v>
      </c>
    </row>
    <row r="156" spans="1:13" ht="56.25" x14ac:dyDescent="0.25">
      <c r="A156" s="10" t="s">
        <v>68</v>
      </c>
      <c r="B156" s="10">
        <v>5.2</v>
      </c>
      <c r="C156" s="8" t="s">
        <v>66</v>
      </c>
      <c r="D156" s="77" t="s">
        <v>903</v>
      </c>
      <c r="E156" s="61" t="s">
        <v>338</v>
      </c>
      <c r="F156" s="77" t="s">
        <v>50</v>
      </c>
      <c r="G156" s="95">
        <v>11.5</v>
      </c>
      <c r="H156" s="61">
        <v>1</v>
      </c>
      <c r="I156" s="104">
        <v>3</v>
      </c>
      <c r="J156" s="98">
        <f t="shared" si="5"/>
        <v>156.42857142857144</v>
      </c>
      <c r="K156" s="42">
        <f t="shared" si="6"/>
        <v>0.22054794520547943</v>
      </c>
      <c r="L156" s="77" t="s">
        <v>1130</v>
      </c>
      <c r="M156" s="113" t="s">
        <v>339</v>
      </c>
    </row>
    <row r="157" spans="1:13" ht="56.25" x14ac:dyDescent="0.25">
      <c r="A157" s="10" t="s">
        <v>68</v>
      </c>
      <c r="B157" s="10">
        <v>5.2</v>
      </c>
      <c r="C157" s="8" t="s">
        <v>66</v>
      </c>
      <c r="D157" s="77" t="s">
        <v>903</v>
      </c>
      <c r="E157" s="61" t="s">
        <v>179</v>
      </c>
      <c r="F157" s="77" t="s">
        <v>50</v>
      </c>
      <c r="G157" s="95">
        <v>20</v>
      </c>
      <c r="H157" s="61">
        <v>1</v>
      </c>
      <c r="I157" s="104">
        <v>3</v>
      </c>
      <c r="J157" s="98">
        <f t="shared" si="5"/>
        <v>156.42857142857144</v>
      </c>
      <c r="K157" s="42">
        <f t="shared" si="6"/>
        <v>0.38356164383561642</v>
      </c>
      <c r="L157" s="77" t="s">
        <v>1131</v>
      </c>
      <c r="M157" s="76" t="s">
        <v>340</v>
      </c>
    </row>
    <row r="158" spans="1:13" ht="56.25" x14ac:dyDescent="0.25">
      <c r="A158" s="10" t="s">
        <v>68</v>
      </c>
      <c r="B158" s="10">
        <v>5.2</v>
      </c>
      <c r="C158" s="8" t="s">
        <v>66</v>
      </c>
      <c r="D158" s="77" t="s">
        <v>903</v>
      </c>
      <c r="E158" s="61" t="s">
        <v>180</v>
      </c>
      <c r="F158" s="77" t="s">
        <v>50</v>
      </c>
      <c r="G158" s="95">
        <v>3</v>
      </c>
      <c r="H158" s="61">
        <v>2</v>
      </c>
      <c r="I158" s="104">
        <v>3</v>
      </c>
      <c r="J158" s="98">
        <f t="shared" si="5"/>
        <v>156.42857142857144</v>
      </c>
      <c r="K158" s="42">
        <f t="shared" si="6"/>
        <v>5.7534246575342458E-2</v>
      </c>
      <c r="L158" s="77" t="s">
        <v>1132</v>
      </c>
      <c r="M158" s="76" t="s">
        <v>181</v>
      </c>
    </row>
    <row r="159" spans="1:13" ht="22.5" x14ac:dyDescent="0.25">
      <c r="A159" s="10" t="s">
        <v>68</v>
      </c>
      <c r="B159" s="10">
        <v>5.2</v>
      </c>
      <c r="C159" s="8" t="s">
        <v>66</v>
      </c>
      <c r="D159" s="77" t="s">
        <v>903</v>
      </c>
      <c r="E159" s="61" t="s">
        <v>171</v>
      </c>
      <c r="F159" s="61" t="s">
        <v>50</v>
      </c>
      <c r="G159" s="95">
        <v>7</v>
      </c>
      <c r="H159" s="61">
        <v>1</v>
      </c>
      <c r="I159" s="104">
        <v>2</v>
      </c>
      <c r="J159" s="98">
        <f t="shared" si="5"/>
        <v>156.42857142857144</v>
      </c>
      <c r="K159" s="42">
        <f t="shared" si="6"/>
        <v>8.9497716894977153E-2</v>
      </c>
      <c r="L159" s="77" t="s">
        <v>1133</v>
      </c>
      <c r="M159" s="77" t="s">
        <v>341</v>
      </c>
    </row>
    <row r="160" spans="1:13" ht="22.5" x14ac:dyDescent="0.25">
      <c r="A160" s="10" t="s">
        <v>68</v>
      </c>
      <c r="B160" s="10">
        <v>5.2</v>
      </c>
      <c r="C160" s="8" t="s">
        <v>66</v>
      </c>
      <c r="D160" s="77" t="s">
        <v>903</v>
      </c>
      <c r="E160" s="77" t="s">
        <v>342</v>
      </c>
      <c r="F160" s="77" t="s">
        <v>50</v>
      </c>
      <c r="G160" s="92">
        <v>5</v>
      </c>
      <c r="H160" s="77">
        <v>2</v>
      </c>
      <c r="I160" s="77">
        <v>4</v>
      </c>
      <c r="J160" s="60">
        <f t="shared" si="5"/>
        <v>156.42857142857144</v>
      </c>
      <c r="K160" s="42">
        <f t="shared" si="6"/>
        <v>0.12785388127853881</v>
      </c>
      <c r="L160" s="77" t="s">
        <v>1134</v>
      </c>
      <c r="M160" s="77" t="s">
        <v>343</v>
      </c>
    </row>
    <row r="161" spans="1:13" ht="22.5" x14ac:dyDescent="0.25">
      <c r="A161" s="10" t="s">
        <v>68</v>
      </c>
      <c r="B161" s="10">
        <v>5.3</v>
      </c>
      <c r="C161" s="8" t="s">
        <v>66</v>
      </c>
      <c r="D161" s="77" t="s">
        <v>903</v>
      </c>
      <c r="E161" s="77" t="s">
        <v>344</v>
      </c>
      <c r="F161" s="77" t="s">
        <v>73</v>
      </c>
      <c r="G161" s="58">
        <v>36.858921161825727</v>
      </c>
      <c r="H161" s="77">
        <v>1</v>
      </c>
      <c r="I161" s="59">
        <v>1</v>
      </c>
      <c r="J161" s="102">
        <f>365/7*10</f>
        <v>521.42857142857144</v>
      </c>
      <c r="K161" s="42">
        <f t="shared" si="6"/>
        <v>7.0688341954186329E-2</v>
      </c>
      <c r="L161" s="77" t="s">
        <v>1135</v>
      </c>
      <c r="M161" s="8" t="s">
        <v>345</v>
      </c>
    </row>
    <row r="162" spans="1:13" x14ac:dyDescent="0.25">
      <c r="A162" s="10" t="s">
        <v>68</v>
      </c>
      <c r="B162" s="10">
        <v>5.3</v>
      </c>
      <c r="C162" s="8" t="s">
        <v>66</v>
      </c>
      <c r="D162" s="77" t="s">
        <v>903</v>
      </c>
      <c r="E162" s="77" t="s">
        <v>1136</v>
      </c>
      <c r="F162" s="77" t="s">
        <v>78</v>
      </c>
      <c r="G162" s="58">
        <v>129</v>
      </c>
      <c r="H162" s="77">
        <v>1</v>
      </c>
      <c r="I162" s="59">
        <v>1</v>
      </c>
      <c r="J162" s="102">
        <f>365/7*25</f>
        <v>1303.5714285714287</v>
      </c>
      <c r="K162" s="42">
        <f t="shared" si="6"/>
        <v>9.8958904109589033E-2</v>
      </c>
      <c r="L162" s="77" t="s">
        <v>1137</v>
      </c>
      <c r="M162" s="8" t="s">
        <v>1138</v>
      </c>
    </row>
    <row r="163" spans="1:13" ht="22.5" x14ac:dyDescent="0.25">
      <c r="A163" s="10" t="s">
        <v>68</v>
      </c>
      <c r="B163" s="10">
        <v>5.3</v>
      </c>
      <c r="C163" s="8" t="s">
        <v>66</v>
      </c>
      <c r="D163" s="77" t="s">
        <v>903</v>
      </c>
      <c r="E163" s="77" t="s">
        <v>1139</v>
      </c>
      <c r="F163" s="77" t="s">
        <v>78</v>
      </c>
      <c r="G163" s="58">
        <v>8</v>
      </c>
      <c r="H163" s="77">
        <v>1</v>
      </c>
      <c r="I163" s="59">
        <v>2</v>
      </c>
      <c r="J163" s="102">
        <f>365/7*2</f>
        <v>104.28571428571429</v>
      </c>
      <c r="K163" s="42">
        <f t="shared" si="6"/>
        <v>0.15342465753424656</v>
      </c>
      <c r="L163" s="77" t="s">
        <v>1140</v>
      </c>
      <c r="M163" s="8" t="s">
        <v>1141</v>
      </c>
    </row>
    <row r="164" spans="1:13" ht="22.5" x14ac:dyDescent="0.25">
      <c r="A164" s="61" t="s">
        <v>68</v>
      </c>
      <c r="B164" s="1">
        <v>5.0999999999999996</v>
      </c>
      <c r="C164" s="8" t="s">
        <v>66</v>
      </c>
      <c r="D164" s="77" t="s">
        <v>899</v>
      </c>
      <c r="E164" s="8" t="s">
        <v>70</v>
      </c>
      <c r="F164" s="8"/>
      <c r="G164" s="42">
        <v>45</v>
      </c>
      <c r="H164" s="43">
        <v>1</v>
      </c>
      <c r="I164" s="89">
        <v>1</v>
      </c>
      <c r="J164" s="44">
        <f>365/7*10</f>
        <v>521.42857142857144</v>
      </c>
      <c r="K164" s="42">
        <f t="shared" si="6"/>
        <v>8.6301369863013691E-2</v>
      </c>
      <c r="L164" s="8"/>
      <c r="M164" s="77" t="s">
        <v>980</v>
      </c>
    </row>
    <row r="165" spans="1:13" ht="22.5" x14ac:dyDescent="0.25">
      <c r="A165" s="10" t="s">
        <v>68</v>
      </c>
      <c r="B165" s="10">
        <v>5.5</v>
      </c>
      <c r="C165" s="8" t="s">
        <v>66</v>
      </c>
      <c r="D165" s="8" t="s">
        <v>899</v>
      </c>
      <c r="E165" s="8" t="s">
        <v>71</v>
      </c>
      <c r="F165" s="8" t="s">
        <v>50</v>
      </c>
      <c r="G165" s="42">
        <v>5</v>
      </c>
      <c r="H165" s="43">
        <v>1</v>
      </c>
      <c r="I165" s="89">
        <v>1</v>
      </c>
      <c r="J165" s="44">
        <f>365/7*5</f>
        <v>260.71428571428572</v>
      </c>
      <c r="K165" s="42">
        <f t="shared" si="6"/>
        <v>1.9178082191780823E-2</v>
      </c>
      <c r="L165" s="8" t="s">
        <v>981</v>
      </c>
      <c r="M165" s="91" t="s">
        <v>982</v>
      </c>
    </row>
    <row r="166" spans="1:13" x14ac:dyDescent="0.25">
      <c r="A166" s="10" t="s">
        <v>68</v>
      </c>
      <c r="B166" s="10">
        <v>5.2</v>
      </c>
      <c r="C166" s="8" t="s">
        <v>66</v>
      </c>
      <c r="D166" s="77" t="s">
        <v>899</v>
      </c>
      <c r="E166" s="8" t="s">
        <v>77</v>
      </c>
      <c r="F166" s="10"/>
      <c r="G166" s="42">
        <v>90</v>
      </c>
      <c r="H166" s="43">
        <v>1</v>
      </c>
      <c r="I166" s="43">
        <v>1</v>
      </c>
      <c r="J166" s="44">
        <f>365/7*10</f>
        <v>521.42857142857144</v>
      </c>
      <c r="K166" s="42">
        <f t="shared" si="6"/>
        <v>0.17260273972602738</v>
      </c>
      <c r="L166" s="8"/>
      <c r="M166" s="8" t="s">
        <v>1118</v>
      </c>
    </row>
    <row r="167" spans="1:13" ht="101.25" x14ac:dyDescent="0.25">
      <c r="A167" s="10" t="s">
        <v>68</v>
      </c>
      <c r="B167" s="10">
        <v>5.0999999999999996</v>
      </c>
      <c r="C167" s="8" t="s">
        <v>66</v>
      </c>
      <c r="D167" s="77" t="s">
        <v>899</v>
      </c>
      <c r="E167" s="8" t="s">
        <v>1142</v>
      </c>
      <c r="F167" s="77" t="s">
        <v>73</v>
      </c>
      <c r="G167" s="95">
        <v>271.02803738317755</v>
      </c>
      <c r="H167" s="77">
        <v>1</v>
      </c>
      <c r="I167" s="77">
        <v>1</v>
      </c>
      <c r="J167" s="44">
        <f>365/7*40</f>
        <v>2085.7142857142858</v>
      </c>
      <c r="K167" s="42">
        <f t="shared" si="6"/>
        <v>0.12994494943029061</v>
      </c>
      <c r="L167" s="8" t="s">
        <v>1143</v>
      </c>
      <c r="M167" s="77" t="s">
        <v>1144</v>
      </c>
    </row>
    <row r="168" spans="1:13" ht="101.25" x14ac:dyDescent="0.25">
      <c r="A168" s="10" t="s">
        <v>68</v>
      </c>
      <c r="B168" s="10">
        <v>5.0999999999999996</v>
      </c>
      <c r="C168" s="8" t="s">
        <v>66</v>
      </c>
      <c r="D168" s="77" t="s">
        <v>899</v>
      </c>
      <c r="E168" s="8" t="s">
        <v>900</v>
      </c>
      <c r="F168" s="8" t="s">
        <v>170</v>
      </c>
      <c r="G168" s="95">
        <v>649.38317757009338</v>
      </c>
      <c r="H168" s="61">
        <v>1</v>
      </c>
      <c r="I168" s="104">
        <v>1</v>
      </c>
      <c r="J168" s="102">
        <f>365/7*16</f>
        <v>834.28571428571433</v>
      </c>
      <c r="K168" s="42">
        <f t="shared" si="6"/>
        <v>0.77837024708744063</v>
      </c>
      <c r="L168" s="8" t="s">
        <v>1145</v>
      </c>
      <c r="M168" s="8" t="s">
        <v>324</v>
      </c>
    </row>
    <row r="169" spans="1:13" ht="45" x14ac:dyDescent="0.25">
      <c r="A169" s="10" t="s">
        <v>68</v>
      </c>
      <c r="B169" s="10">
        <v>5.0999999999999996</v>
      </c>
      <c r="C169" s="8" t="s">
        <v>66</v>
      </c>
      <c r="D169" s="77" t="s">
        <v>899</v>
      </c>
      <c r="E169" s="8" t="s">
        <v>1146</v>
      </c>
      <c r="F169" s="8" t="s">
        <v>73</v>
      </c>
      <c r="G169" s="95">
        <v>195.14018691588782</v>
      </c>
      <c r="H169" s="43">
        <v>1</v>
      </c>
      <c r="I169" s="43">
        <v>1</v>
      </c>
      <c r="J169" s="44">
        <f>365/7*40</f>
        <v>2085.7142857142858</v>
      </c>
      <c r="K169" s="42">
        <f t="shared" si="6"/>
        <v>9.3560363589809223E-2</v>
      </c>
      <c r="L169" s="8" t="s">
        <v>1147</v>
      </c>
      <c r="M169" s="8" t="s">
        <v>1148</v>
      </c>
    </row>
    <row r="170" spans="1:13" ht="56.25" x14ac:dyDescent="0.25">
      <c r="A170" s="10" t="s">
        <v>68</v>
      </c>
      <c r="B170" s="10">
        <v>5.0999999999999996</v>
      </c>
      <c r="C170" s="8" t="s">
        <v>66</v>
      </c>
      <c r="D170" s="77" t="s">
        <v>899</v>
      </c>
      <c r="E170" s="8" t="s">
        <v>173</v>
      </c>
      <c r="F170" s="8" t="s">
        <v>73</v>
      </c>
      <c r="G170" s="95">
        <v>260.18691588785043</v>
      </c>
      <c r="H170" s="77">
        <v>1</v>
      </c>
      <c r="I170" s="59">
        <v>1</v>
      </c>
      <c r="J170" s="60">
        <f>365/7*40</f>
        <v>2085.7142857142858</v>
      </c>
      <c r="K170" s="42">
        <f t="shared" si="6"/>
        <v>0.12474715145307896</v>
      </c>
      <c r="L170" s="8" t="s">
        <v>1149</v>
      </c>
      <c r="M170" s="8" t="s">
        <v>1150</v>
      </c>
    </row>
    <row r="171" spans="1:13" ht="45" x14ac:dyDescent="0.25">
      <c r="A171" s="10" t="s">
        <v>68</v>
      </c>
      <c r="B171" s="10">
        <v>5.0999999999999996</v>
      </c>
      <c r="C171" s="8" t="s">
        <v>66</v>
      </c>
      <c r="D171" s="77" t="s">
        <v>899</v>
      </c>
      <c r="E171" s="8" t="s">
        <v>174</v>
      </c>
      <c r="F171" s="8" t="s">
        <v>73</v>
      </c>
      <c r="G171" s="95">
        <v>140.93457943925233</v>
      </c>
      <c r="H171" s="77">
        <v>1</v>
      </c>
      <c r="I171" s="59">
        <v>2</v>
      </c>
      <c r="J171" s="60">
        <f>365/7*40</f>
        <v>2085.7142857142858</v>
      </c>
      <c r="K171" s="42">
        <f t="shared" si="6"/>
        <v>0.13514274740750223</v>
      </c>
      <c r="L171" s="8" t="s">
        <v>1151</v>
      </c>
      <c r="M171" s="8" t="s">
        <v>1152</v>
      </c>
    </row>
    <row r="172" spans="1:13" ht="45" x14ac:dyDescent="0.25">
      <c r="A172" s="10" t="s">
        <v>68</v>
      </c>
      <c r="B172" s="10">
        <v>5.0999999999999996</v>
      </c>
      <c r="C172" s="8" t="s">
        <v>66</v>
      </c>
      <c r="D172" s="77" t="s">
        <v>899</v>
      </c>
      <c r="E172" s="77" t="s">
        <v>175</v>
      </c>
      <c r="F172" s="77" t="s">
        <v>27</v>
      </c>
      <c r="G172" s="95">
        <v>10.841121495327101</v>
      </c>
      <c r="H172" s="77">
        <v>1</v>
      </c>
      <c r="I172" s="59">
        <v>2</v>
      </c>
      <c r="J172" s="102">
        <f>365/7*20</f>
        <v>1042.8571428571429</v>
      </c>
      <c r="K172" s="42">
        <f t="shared" si="6"/>
        <v>2.0791191908846495E-2</v>
      </c>
      <c r="L172" s="77" t="s">
        <v>1153</v>
      </c>
      <c r="M172" s="8" t="s">
        <v>330</v>
      </c>
    </row>
    <row r="173" spans="1:13" ht="33.75" x14ac:dyDescent="0.25">
      <c r="A173" s="10" t="s">
        <v>68</v>
      </c>
      <c r="B173" s="10">
        <v>5.2</v>
      </c>
      <c r="C173" s="8" t="s">
        <v>66</v>
      </c>
      <c r="D173" s="77" t="s">
        <v>899</v>
      </c>
      <c r="E173" s="8" t="s">
        <v>334</v>
      </c>
      <c r="F173" s="8" t="s">
        <v>27</v>
      </c>
      <c r="G173" s="42">
        <v>13.82247403210576</v>
      </c>
      <c r="H173" s="43">
        <v>1</v>
      </c>
      <c r="I173" s="43">
        <v>1</v>
      </c>
      <c r="J173" s="102">
        <f>365/7*8</f>
        <v>417.14285714285717</v>
      </c>
      <c r="K173" s="42">
        <f t="shared" si="6"/>
        <v>3.3136067885185035E-2</v>
      </c>
      <c r="L173" s="8" t="s">
        <v>1154</v>
      </c>
      <c r="M173" s="8" t="s">
        <v>335</v>
      </c>
    </row>
    <row r="174" spans="1:13" ht="56.25" x14ac:dyDescent="0.25">
      <c r="A174" s="10" t="s">
        <v>68</v>
      </c>
      <c r="B174" s="10">
        <v>5.2</v>
      </c>
      <c r="C174" s="8" t="s">
        <v>66</v>
      </c>
      <c r="D174" s="77" t="s">
        <v>899</v>
      </c>
      <c r="E174" s="8" t="s">
        <v>177</v>
      </c>
      <c r="F174" s="77" t="s">
        <v>78</v>
      </c>
      <c r="G174" s="42">
        <v>37.214353163361658</v>
      </c>
      <c r="H174" s="77">
        <v>2</v>
      </c>
      <c r="I174" s="59">
        <v>2</v>
      </c>
      <c r="J174" s="102">
        <f>365/7*8</f>
        <v>417.14285714285717</v>
      </c>
      <c r="K174" s="42">
        <f t="shared" si="6"/>
        <v>0.17842498092022713</v>
      </c>
      <c r="L174" s="8" t="s">
        <v>1155</v>
      </c>
      <c r="M174" s="77" t="s">
        <v>336</v>
      </c>
    </row>
    <row r="175" spans="1:13" ht="45" x14ac:dyDescent="0.25">
      <c r="A175" s="10" t="s">
        <v>68</v>
      </c>
      <c r="B175" s="10">
        <v>5.2</v>
      </c>
      <c r="C175" s="8" t="s">
        <v>66</v>
      </c>
      <c r="D175" s="77" t="s">
        <v>899</v>
      </c>
      <c r="E175" s="8" t="s">
        <v>171</v>
      </c>
      <c r="F175" s="61" t="s">
        <v>50</v>
      </c>
      <c r="G175" s="42">
        <v>7.4428706326723324</v>
      </c>
      <c r="H175" s="61">
        <v>1</v>
      </c>
      <c r="I175" s="59">
        <v>1</v>
      </c>
      <c r="J175" s="60">
        <f>365/7*8</f>
        <v>417.14285714285717</v>
      </c>
      <c r="K175" s="42">
        <f t="shared" si="6"/>
        <v>1.7842498092022714E-2</v>
      </c>
      <c r="L175" s="8" t="s">
        <v>1156</v>
      </c>
      <c r="M175" s="77" t="s">
        <v>341</v>
      </c>
    </row>
    <row r="176" spans="1:13" ht="22.5" x14ac:dyDescent="0.25">
      <c r="A176" s="10" t="s">
        <v>68</v>
      </c>
      <c r="B176" s="10">
        <v>5.2</v>
      </c>
      <c r="C176" s="8" t="s">
        <v>66</v>
      </c>
      <c r="D176" s="77" t="s">
        <v>1157</v>
      </c>
      <c r="E176" s="8" t="s">
        <v>70</v>
      </c>
      <c r="F176" s="8"/>
      <c r="G176" s="42">
        <v>45</v>
      </c>
      <c r="H176" s="43">
        <v>1</v>
      </c>
      <c r="I176" s="89">
        <v>1</v>
      </c>
      <c r="J176" s="44">
        <f>365/7*10</f>
        <v>521.42857142857144</v>
      </c>
      <c r="K176" s="42">
        <f t="shared" si="6"/>
        <v>8.6301369863013691E-2</v>
      </c>
      <c r="L176" s="8"/>
      <c r="M176" s="77" t="s">
        <v>980</v>
      </c>
    </row>
    <row r="177" spans="1:14" ht="22.5" x14ac:dyDescent="0.25">
      <c r="A177" s="10" t="s">
        <v>68</v>
      </c>
      <c r="B177" s="10">
        <v>5.2</v>
      </c>
      <c r="C177" s="8" t="s">
        <v>66</v>
      </c>
      <c r="D177" s="77" t="s">
        <v>1157</v>
      </c>
      <c r="E177" s="8" t="s">
        <v>71</v>
      </c>
      <c r="F177" s="8" t="s">
        <v>50</v>
      </c>
      <c r="G177" s="42">
        <v>5</v>
      </c>
      <c r="H177" s="43">
        <v>1</v>
      </c>
      <c r="I177" s="89">
        <v>1</v>
      </c>
      <c r="J177" s="44">
        <f>365/7*5</f>
        <v>260.71428571428572</v>
      </c>
      <c r="K177" s="42">
        <f t="shared" si="6"/>
        <v>1.9178082191780823E-2</v>
      </c>
      <c r="L177" s="8" t="s">
        <v>981</v>
      </c>
      <c r="M177" s="91" t="s">
        <v>982</v>
      </c>
    </row>
    <row r="178" spans="1:14" x14ac:dyDescent="0.25">
      <c r="A178" s="10" t="s">
        <v>68</v>
      </c>
      <c r="B178" s="10">
        <v>5.2</v>
      </c>
      <c r="C178" s="8" t="s">
        <v>66</v>
      </c>
      <c r="D178" s="77" t="s">
        <v>1157</v>
      </c>
      <c r="E178" s="8" t="s">
        <v>77</v>
      </c>
      <c r="F178" s="10"/>
      <c r="G178" s="42">
        <v>90</v>
      </c>
      <c r="H178" s="43">
        <v>1</v>
      </c>
      <c r="I178" s="43">
        <v>1</v>
      </c>
      <c r="J178" s="44">
        <f>365/7*10</f>
        <v>521.42857142857144</v>
      </c>
      <c r="K178" s="42">
        <f t="shared" si="6"/>
        <v>0.17260273972602738</v>
      </c>
      <c r="L178" s="8"/>
      <c r="M178" s="8" t="s">
        <v>1118</v>
      </c>
    </row>
    <row r="179" spans="1:14" x14ac:dyDescent="0.25">
      <c r="A179" s="10" t="s">
        <v>68</v>
      </c>
      <c r="B179" s="10">
        <v>5.2</v>
      </c>
      <c r="C179" s="8" t="s">
        <v>66</v>
      </c>
      <c r="D179" s="77" t="s">
        <v>1157</v>
      </c>
      <c r="E179" s="3" t="s">
        <v>1158</v>
      </c>
      <c r="F179" s="3" t="s">
        <v>183</v>
      </c>
      <c r="G179" s="42">
        <v>929</v>
      </c>
      <c r="H179" s="114">
        <v>1</v>
      </c>
      <c r="I179" s="114">
        <v>1</v>
      </c>
      <c r="J179" s="42">
        <f t="shared" ref="J179:J180" si="7">365/7*25</f>
        <v>1303.5714285714287</v>
      </c>
      <c r="K179" s="42">
        <f t="shared" si="6"/>
        <v>0.7126575342465753</v>
      </c>
      <c r="L179" s="8" t="s">
        <v>1159</v>
      </c>
      <c r="M179" s="3" t="s">
        <v>1160</v>
      </c>
    </row>
    <row r="180" spans="1:14" ht="22.5" x14ac:dyDescent="0.25">
      <c r="A180" s="10" t="s">
        <v>68</v>
      </c>
      <c r="B180" s="10">
        <v>5.2</v>
      </c>
      <c r="C180" s="8" t="s">
        <v>66</v>
      </c>
      <c r="D180" s="77" t="s">
        <v>1157</v>
      </c>
      <c r="E180" s="3" t="s">
        <v>1161</v>
      </c>
      <c r="F180" s="3" t="s">
        <v>984</v>
      </c>
      <c r="G180" s="42">
        <v>85</v>
      </c>
      <c r="H180" s="114">
        <v>1</v>
      </c>
      <c r="I180" s="114">
        <v>1</v>
      </c>
      <c r="J180" s="42">
        <f t="shared" si="7"/>
        <v>1303.5714285714287</v>
      </c>
      <c r="K180" s="42">
        <f t="shared" si="6"/>
        <v>6.5205479452054793E-2</v>
      </c>
      <c r="L180" s="8" t="s">
        <v>1162</v>
      </c>
      <c r="M180" s="3" t="s">
        <v>1163</v>
      </c>
    </row>
    <row r="181" spans="1:14" x14ac:dyDescent="0.25">
      <c r="A181" s="10" t="s">
        <v>68</v>
      </c>
      <c r="B181" s="10">
        <v>5.2</v>
      </c>
      <c r="C181" s="8" t="s">
        <v>66</v>
      </c>
      <c r="D181" s="77" t="s">
        <v>1157</v>
      </c>
      <c r="E181" s="3" t="s">
        <v>1164</v>
      </c>
      <c r="F181" s="3" t="s">
        <v>984</v>
      </c>
      <c r="G181" s="42">
        <v>115</v>
      </c>
      <c r="H181" s="114">
        <v>1</v>
      </c>
      <c r="I181" s="114">
        <v>1</v>
      </c>
      <c r="J181" s="42">
        <f>365/7*10</f>
        <v>521.42857142857144</v>
      </c>
      <c r="K181" s="42">
        <f t="shared" si="6"/>
        <v>0.22054794520547943</v>
      </c>
      <c r="L181" s="8" t="s">
        <v>1165</v>
      </c>
      <c r="M181" s="3" t="s">
        <v>1166</v>
      </c>
    </row>
    <row r="182" spans="1:14" ht="21.95" customHeight="1" x14ac:dyDescent="0.25">
      <c r="A182" s="77" t="s">
        <v>68</v>
      </c>
      <c r="B182" s="3">
        <v>5.0999999999999996</v>
      </c>
      <c r="C182" s="8" t="s">
        <v>66</v>
      </c>
      <c r="D182" s="2" t="s">
        <v>348</v>
      </c>
      <c r="E182" s="2" t="s">
        <v>904</v>
      </c>
      <c r="F182" s="3" t="s">
        <v>83</v>
      </c>
      <c r="G182" s="42">
        <v>85.05</v>
      </c>
      <c r="H182" s="114">
        <v>1</v>
      </c>
      <c r="I182" s="114">
        <v>1</v>
      </c>
      <c r="J182" s="42">
        <f>365/7*4</f>
        <v>208.57142857142858</v>
      </c>
      <c r="K182" s="42">
        <f t="shared" si="6"/>
        <v>0.40777397260273968</v>
      </c>
      <c r="L182" s="8" t="s">
        <v>1167</v>
      </c>
      <c r="M182" s="3" t="s">
        <v>1168</v>
      </c>
    </row>
    <row r="183" spans="1:14" ht="22.5" x14ac:dyDescent="0.25">
      <c r="A183" s="77" t="s">
        <v>68</v>
      </c>
      <c r="B183" s="3">
        <v>5.0999999999999996</v>
      </c>
      <c r="C183" s="8" t="s">
        <v>66</v>
      </c>
      <c r="D183" s="2" t="s">
        <v>348</v>
      </c>
      <c r="E183" s="3" t="s">
        <v>1169</v>
      </c>
      <c r="F183" s="3" t="s">
        <v>83</v>
      </c>
      <c r="G183" s="42">
        <v>202.59</v>
      </c>
      <c r="H183" s="114">
        <v>1</v>
      </c>
      <c r="I183" s="114">
        <v>1</v>
      </c>
      <c r="J183" s="42">
        <f>365/7*4</f>
        <v>208.57142857142858</v>
      </c>
      <c r="K183" s="42">
        <f t="shared" si="6"/>
        <v>0.97132191780821919</v>
      </c>
      <c r="L183" s="8" t="s">
        <v>1170</v>
      </c>
      <c r="M183" s="3" t="s">
        <v>1171</v>
      </c>
    </row>
    <row r="184" spans="1:14" x14ac:dyDescent="0.25">
      <c r="A184" s="77" t="s">
        <v>68</v>
      </c>
      <c r="B184" s="3">
        <v>5.0999999999999996</v>
      </c>
      <c r="C184" s="8" t="s">
        <v>66</v>
      </c>
      <c r="D184" s="2" t="s">
        <v>348</v>
      </c>
      <c r="E184" s="3" t="s">
        <v>1172</v>
      </c>
      <c r="F184" s="3"/>
      <c r="G184" s="42">
        <v>200</v>
      </c>
      <c r="H184" s="114">
        <v>1</v>
      </c>
      <c r="I184" s="114">
        <v>1</v>
      </c>
      <c r="J184" s="42">
        <f>365/7</f>
        <v>52.142857142857146</v>
      </c>
      <c r="K184" s="42">
        <f t="shared" si="6"/>
        <v>3.8356164383561642</v>
      </c>
      <c r="L184" s="8" t="s">
        <v>1173</v>
      </c>
      <c r="M184" s="3"/>
    </row>
    <row r="185" spans="1:14" ht="84.95" customHeight="1" x14ac:dyDescent="0.25">
      <c r="A185" s="10" t="s">
        <v>68</v>
      </c>
      <c r="B185" s="2">
        <v>5.0999999999999996</v>
      </c>
      <c r="C185" s="8" t="s">
        <v>66</v>
      </c>
      <c r="D185" s="2" t="s">
        <v>1174</v>
      </c>
      <c r="E185" s="2" t="s">
        <v>346</v>
      </c>
      <c r="F185" s="2" t="s">
        <v>347</v>
      </c>
      <c r="G185" s="42">
        <v>555.57000000000005</v>
      </c>
      <c r="H185" s="2"/>
      <c r="I185" s="2">
        <v>1</v>
      </c>
      <c r="J185" s="2">
        <f>365/7*10</f>
        <v>521.42857142857144</v>
      </c>
      <c r="K185" s="42">
        <f t="shared" si="6"/>
        <v>1.0654767123287672</v>
      </c>
      <c r="L185" s="2" t="s">
        <v>1175</v>
      </c>
      <c r="M185" s="2" t="s">
        <v>1176</v>
      </c>
      <c r="N185" s="61"/>
    </row>
    <row r="186" spans="1:14" ht="87" customHeight="1" x14ac:dyDescent="0.25">
      <c r="A186" s="10" t="s">
        <v>68</v>
      </c>
      <c r="B186" s="2">
        <v>5.0999999999999996</v>
      </c>
      <c r="C186" s="8" t="s">
        <v>66</v>
      </c>
      <c r="D186" s="2" t="s">
        <v>1177</v>
      </c>
      <c r="E186" s="2" t="s">
        <v>346</v>
      </c>
      <c r="F186" s="2" t="s">
        <v>347</v>
      </c>
      <c r="G186" s="42">
        <v>458.51</v>
      </c>
      <c r="H186" s="2"/>
      <c r="I186" s="2">
        <v>1</v>
      </c>
      <c r="J186" s="2">
        <f>365/7*10</f>
        <v>521.42857142857144</v>
      </c>
      <c r="K186" s="42">
        <f t="shared" si="6"/>
        <v>0.87933424657534243</v>
      </c>
      <c r="L186" s="2" t="s">
        <v>1175</v>
      </c>
      <c r="M186" s="2" t="s">
        <v>1178</v>
      </c>
      <c r="N186" s="61"/>
    </row>
    <row r="187" spans="1:14" ht="83.1" customHeight="1" x14ac:dyDescent="0.25">
      <c r="A187" s="10" t="s">
        <v>68</v>
      </c>
      <c r="B187" s="2">
        <v>5.0999999999999996</v>
      </c>
      <c r="C187" s="8" t="s">
        <v>66</v>
      </c>
      <c r="D187" s="2" t="s">
        <v>1157</v>
      </c>
      <c r="E187" s="2" t="s">
        <v>346</v>
      </c>
      <c r="F187" s="2" t="s">
        <v>347</v>
      </c>
      <c r="G187" s="42">
        <v>334.15</v>
      </c>
      <c r="H187" s="2"/>
      <c r="I187" s="2">
        <v>1</v>
      </c>
      <c r="J187" s="2">
        <f>365/7*10</f>
        <v>521.42857142857144</v>
      </c>
      <c r="K187" s="42">
        <f t="shared" ref="K187:K191" si="8">G187*I187/J187</f>
        <v>0.64083561643835607</v>
      </c>
      <c r="L187" s="2" t="s">
        <v>1175</v>
      </c>
      <c r="M187" s="2" t="s">
        <v>1179</v>
      </c>
      <c r="N187" s="61"/>
    </row>
    <row r="188" spans="1:14" ht="71.099999999999994" customHeight="1" x14ac:dyDescent="0.25">
      <c r="A188" s="10" t="s">
        <v>68</v>
      </c>
      <c r="B188" s="10">
        <v>5.0999999999999996</v>
      </c>
      <c r="C188" s="8" t="s">
        <v>66</v>
      </c>
      <c r="D188" s="8" t="s">
        <v>85</v>
      </c>
      <c r="E188" s="8" t="s">
        <v>1186</v>
      </c>
      <c r="F188" s="8" t="s">
        <v>347</v>
      </c>
      <c r="G188" s="42">
        <v>802.49</v>
      </c>
      <c r="H188" s="43"/>
      <c r="I188" s="89">
        <v>1</v>
      </c>
      <c r="J188" s="92">
        <f>365/7*10</f>
        <v>521.42857142857144</v>
      </c>
      <c r="K188" s="42">
        <f t="shared" si="8"/>
        <v>1.5390219178082192</v>
      </c>
      <c r="L188" s="8" t="s">
        <v>1180</v>
      </c>
      <c r="M188" s="3" t="s">
        <v>1181</v>
      </c>
      <c r="N188" s="61"/>
    </row>
    <row r="189" spans="1:14" ht="81" customHeight="1" x14ac:dyDescent="0.25">
      <c r="A189" s="10" t="s">
        <v>68</v>
      </c>
      <c r="B189" s="10">
        <v>5.0999999999999996</v>
      </c>
      <c r="C189" s="8" t="s">
        <v>66</v>
      </c>
      <c r="D189" s="8" t="s">
        <v>69</v>
      </c>
      <c r="E189" s="8" t="s">
        <v>346</v>
      </c>
      <c r="F189" s="8" t="s">
        <v>347</v>
      </c>
      <c r="G189" s="42">
        <v>432.49</v>
      </c>
      <c r="H189" s="43">
        <v>1</v>
      </c>
      <c r="I189" s="89">
        <v>1</v>
      </c>
      <c r="J189" s="92">
        <f>365/7*20</f>
        <v>1042.8571428571429</v>
      </c>
      <c r="K189" s="42">
        <f t="shared" si="8"/>
        <v>0.4147164383561644</v>
      </c>
      <c r="L189" s="8" t="s">
        <v>1182</v>
      </c>
      <c r="M189" s="77" t="s">
        <v>1183</v>
      </c>
      <c r="N189" s="61"/>
    </row>
    <row r="190" spans="1:14" ht="71.099999999999994" customHeight="1" x14ac:dyDescent="0.25">
      <c r="A190" s="10" t="s">
        <v>68</v>
      </c>
      <c r="B190" s="10">
        <v>5.0999999999999996</v>
      </c>
      <c r="C190" s="8" t="s">
        <v>66</v>
      </c>
      <c r="D190" s="8" t="s">
        <v>76</v>
      </c>
      <c r="E190" s="8" t="s">
        <v>346</v>
      </c>
      <c r="F190" s="8" t="s">
        <v>347</v>
      </c>
      <c r="G190" s="42">
        <v>699.94</v>
      </c>
      <c r="H190" s="43"/>
      <c r="I190" s="89">
        <v>1</v>
      </c>
      <c r="J190" s="92">
        <f t="shared" ref="J190:J191" si="9">365/7*20</f>
        <v>1042.8571428571429</v>
      </c>
      <c r="K190" s="42">
        <f t="shared" si="8"/>
        <v>0.6711753424657535</v>
      </c>
      <c r="L190" s="8" t="s">
        <v>902</v>
      </c>
      <c r="M190" s="3" t="s">
        <v>1184</v>
      </c>
      <c r="N190" s="61"/>
    </row>
    <row r="191" spans="1:14" s="2" customFormat="1" ht="83.1" customHeight="1" x14ac:dyDescent="0.25">
      <c r="A191" s="10" t="s">
        <v>68</v>
      </c>
      <c r="B191" s="10">
        <v>5.0999999999999996</v>
      </c>
      <c r="C191" s="8" t="s">
        <v>66</v>
      </c>
      <c r="D191" s="8" t="s">
        <v>1185</v>
      </c>
      <c r="E191" s="8" t="s">
        <v>346</v>
      </c>
      <c r="F191" s="8" t="s">
        <v>347</v>
      </c>
      <c r="G191" s="42">
        <v>432.49</v>
      </c>
      <c r="H191" s="43"/>
      <c r="I191" s="89">
        <v>1</v>
      </c>
      <c r="J191" s="92">
        <f t="shared" si="9"/>
        <v>1042.8571428571429</v>
      </c>
      <c r="K191" s="42">
        <f t="shared" si="8"/>
        <v>0.4147164383561644</v>
      </c>
      <c r="L191" s="8" t="s">
        <v>901</v>
      </c>
      <c r="M191" s="77" t="s">
        <v>1183</v>
      </c>
    </row>
    <row r="192" spans="1:14" x14ac:dyDescent="0.25">
      <c r="D192" s="32" t="s">
        <v>817</v>
      </c>
      <c r="E192" s="31">
        <f>SUM(K5:K191)</f>
        <v>43.968337485932111</v>
      </c>
      <c r="N192" s="77"/>
    </row>
    <row r="193" spans="14:14" x14ac:dyDescent="0.25">
      <c r="N193" s="77"/>
    </row>
    <row r="194" spans="14:14" x14ac:dyDescent="0.25">
      <c r="N194" s="77"/>
    </row>
    <row r="195" spans="14:14" x14ac:dyDescent="0.25">
      <c r="N195" s="77"/>
    </row>
    <row r="196" spans="14:14" x14ac:dyDescent="0.25">
      <c r="N196" s="77"/>
    </row>
    <row r="197" spans="14:14" x14ac:dyDescent="0.25">
      <c r="N197" s="77"/>
    </row>
    <row r="198" spans="14:14" x14ac:dyDescent="0.25">
      <c r="N198" s="77"/>
    </row>
    <row r="199" spans="14:14" x14ac:dyDescent="0.25">
      <c r="N199" s="77"/>
    </row>
    <row r="200" spans="14:14" x14ac:dyDescent="0.25">
      <c r="N200" s="77"/>
    </row>
    <row r="201" spans="14:14" x14ac:dyDescent="0.25">
      <c r="N201" s="77"/>
    </row>
    <row r="202" spans="14:14" x14ac:dyDescent="0.25">
      <c r="N202" s="77"/>
    </row>
    <row r="203" spans="14:14" x14ac:dyDescent="0.25">
      <c r="N203" s="77"/>
    </row>
    <row r="217" spans="4:4" x14ac:dyDescent="0.25">
      <c r="D217" s="116"/>
    </row>
    <row r="218" spans="4:4" x14ac:dyDescent="0.25">
      <c r="D218" s="116"/>
    </row>
    <row r="219" spans="4:4" x14ac:dyDescent="0.25">
      <c r="D219" s="116"/>
    </row>
    <row r="221" spans="4:4" x14ac:dyDescent="0.25">
      <c r="D221" s="116"/>
    </row>
    <row r="222" spans="4:4" x14ac:dyDescent="0.25">
      <c r="D222" s="116"/>
    </row>
    <row r="227" spans="4:4" x14ac:dyDescent="0.25">
      <c r="D227" s="116"/>
    </row>
    <row r="228" spans="4:4" x14ac:dyDescent="0.25">
      <c r="D228" s="116"/>
    </row>
    <row r="262" spans="4:4" x14ac:dyDescent="0.25">
      <c r="D262" s="116"/>
    </row>
    <row r="310" spans="4:4" x14ac:dyDescent="0.25">
      <c r="D310" s="116"/>
    </row>
    <row r="368" spans="1:13" x14ac:dyDescent="0.25">
      <c r="A368" s="10"/>
      <c r="B368" s="10"/>
      <c r="C368" s="8"/>
      <c r="D368" s="8"/>
      <c r="E368" s="8"/>
      <c r="F368" s="10"/>
      <c r="G368" s="10"/>
      <c r="H368" s="10"/>
      <c r="I368" s="10"/>
      <c r="J368" s="52"/>
      <c r="K368" s="52"/>
      <c r="L368" s="8"/>
      <c r="M368" s="8"/>
    </row>
    <row r="369" spans="1:14" x14ac:dyDescent="0.25">
      <c r="A369" s="10"/>
      <c r="B369" s="10"/>
      <c r="C369" s="8"/>
      <c r="D369" s="8"/>
      <c r="E369" s="8"/>
      <c r="F369" s="8"/>
      <c r="G369" s="52"/>
      <c r="H369" s="10"/>
      <c r="I369" s="10"/>
      <c r="J369" s="52"/>
      <c r="K369" s="52"/>
      <c r="L369" s="8"/>
      <c r="M369" s="8"/>
    </row>
    <row r="370" spans="1:14" x14ac:dyDescent="0.25">
      <c r="A370" s="77"/>
      <c r="B370" s="12"/>
      <c r="C370" s="8"/>
      <c r="D370" s="8"/>
      <c r="E370" s="8"/>
      <c r="F370" s="8"/>
      <c r="G370" s="52"/>
      <c r="H370" s="10"/>
      <c r="I370" s="117"/>
      <c r="J370" s="52"/>
      <c r="K370" s="52"/>
      <c r="L370" s="8"/>
      <c r="M370" s="8"/>
    </row>
    <row r="371" spans="1:14" x14ac:dyDescent="0.25">
      <c r="A371" s="10"/>
      <c r="B371" s="10"/>
      <c r="C371" s="8"/>
      <c r="D371" s="8"/>
      <c r="E371" s="8"/>
      <c r="F371" s="8"/>
      <c r="G371" s="52"/>
      <c r="H371" s="10"/>
      <c r="I371" s="10"/>
      <c r="J371" s="52"/>
      <c r="K371" s="52"/>
      <c r="L371" s="8"/>
      <c r="M371" s="8"/>
    </row>
    <row r="372" spans="1:14" x14ac:dyDescent="0.25">
      <c r="A372" s="10"/>
      <c r="B372" s="10"/>
      <c r="C372" s="8"/>
      <c r="D372" s="8"/>
      <c r="E372" s="77"/>
      <c r="F372" s="92"/>
      <c r="G372" s="13"/>
      <c r="H372" s="12"/>
      <c r="I372" s="118"/>
      <c r="J372" s="52"/>
      <c r="K372" s="52"/>
      <c r="L372" s="61"/>
      <c r="M372" s="8"/>
    </row>
    <row r="373" spans="1:14" x14ac:dyDescent="0.25">
      <c r="A373" s="10"/>
      <c r="B373" s="10"/>
      <c r="C373" s="8"/>
      <c r="D373" s="8"/>
      <c r="E373" s="61"/>
      <c r="F373" s="94"/>
      <c r="G373" s="9"/>
      <c r="H373" s="1"/>
      <c r="I373" s="119"/>
      <c r="J373" s="9"/>
      <c r="K373" s="52"/>
      <c r="L373" s="61"/>
      <c r="M373" s="12"/>
    </row>
    <row r="374" spans="1:14" x14ac:dyDescent="0.25">
      <c r="A374" s="10"/>
      <c r="B374" s="10"/>
      <c r="C374" s="8"/>
      <c r="D374" s="8"/>
      <c r="E374" s="77"/>
      <c r="F374" s="92"/>
      <c r="G374" s="13"/>
      <c r="H374" s="12"/>
      <c r="I374" s="118"/>
      <c r="J374" s="52"/>
      <c r="K374" s="52"/>
      <c r="L374" s="77"/>
      <c r="M374" s="5"/>
    </row>
    <row r="375" spans="1:14" x14ac:dyDescent="0.25">
      <c r="A375" s="10"/>
      <c r="B375" s="10"/>
      <c r="C375" s="8"/>
      <c r="D375" s="8"/>
      <c r="E375" s="61"/>
      <c r="F375" s="94"/>
      <c r="G375" s="9"/>
      <c r="H375" s="1"/>
      <c r="I375" s="119"/>
      <c r="J375" s="9"/>
      <c r="K375" s="52"/>
      <c r="L375" s="77"/>
      <c r="M375" s="8"/>
    </row>
    <row r="376" spans="1:14" x14ac:dyDescent="0.25">
      <c r="A376" s="10"/>
      <c r="B376" s="10"/>
      <c r="C376" s="8"/>
      <c r="D376" s="8"/>
      <c r="E376" s="61"/>
      <c r="F376" s="94"/>
      <c r="G376" s="9"/>
      <c r="H376" s="1"/>
      <c r="I376" s="119"/>
      <c r="J376" s="9"/>
      <c r="K376" s="52"/>
      <c r="L376" s="61"/>
      <c r="M376" s="8"/>
    </row>
    <row r="377" spans="1:14" x14ac:dyDescent="0.25">
      <c r="A377" s="10"/>
      <c r="B377" s="10"/>
      <c r="C377" s="8"/>
      <c r="D377" s="8"/>
      <c r="E377" s="77"/>
      <c r="F377" s="94"/>
      <c r="G377" s="9"/>
      <c r="H377" s="1"/>
      <c r="I377" s="119"/>
      <c r="J377" s="9"/>
      <c r="K377" s="52"/>
      <c r="L377" s="61"/>
      <c r="M377" s="8"/>
    </row>
    <row r="378" spans="1:14" x14ac:dyDescent="0.25">
      <c r="A378" s="10"/>
      <c r="B378" s="10"/>
      <c r="C378" s="8"/>
      <c r="D378" s="8"/>
      <c r="E378" s="61"/>
      <c r="F378" s="94"/>
      <c r="G378" s="9"/>
      <c r="H378" s="1"/>
      <c r="I378" s="119"/>
      <c r="J378" s="9"/>
      <c r="K378" s="52"/>
      <c r="L378" s="77"/>
      <c r="M378" s="120"/>
    </row>
    <row r="379" spans="1:14" x14ac:dyDescent="0.25">
      <c r="A379" s="10"/>
      <c r="B379" s="10"/>
      <c r="C379" s="8"/>
      <c r="D379" s="8"/>
      <c r="E379" s="61"/>
      <c r="F379" s="94"/>
      <c r="G379" s="9"/>
      <c r="H379" s="1"/>
      <c r="I379" s="119"/>
      <c r="J379" s="9"/>
      <c r="K379" s="52"/>
      <c r="L379" s="61"/>
      <c r="M379" s="8"/>
    </row>
    <row r="380" spans="1:14" x14ac:dyDescent="0.25">
      <c r="A380" s="10"/>
      <c r="B380" s="10"/>
      <c r="C380" s="8"/>
      <c r="D380" s="8"/>
      <c r="E380" s="61"/>
      <c r="F380" s="94"/>
      <c r="G380" s="9"/>
      <c r="H380" s="1"/>
      <c r="I380" s="119"/>
      <c r="J380" s="9"/>
      <c r="K380" s="52"/>
      <c r="L380" s="61"/>
      <c r="M380" s="1"/>
    </row>
    <row r="381" spans="1:14" x14ac:dyDescent="0.25">
      <c r="A381" s="10"/>
      <c r="B381" s="10"/>
      <c r="C381" s="8"/>
      <c r="D381" s="8"/>
      <c r="E381" s="61"/>
      <c r="F381" s="92"/>
      <c r="G381" s="13"/>
      <c r="H381" s="12"/>
      <c r="I381" s="118"/>
      <c r="J381" s="13"/>
      <c r="K381" s="52"/>
      <c r="L381" s="61"/>
      <c r="M381" s="8"/>
      <c r="N381" s="8"/>
    </row>
    <row r="382" spans="1:14" x14ac:dyDescent="0.25">
      <c r="A382" s="10"/>
      <c r="B382" s="10"/>
      <c r="C382" s="8"/>
      <c r="D382" s="8"/>
      <c r="E382" s="61"/>
      <c r="F382" s="94"/>
      <c r="G382" s="9"/>
      <c r="H382" s="1"/>
      <c r="I382" s="119"/>
      <c r="J382" s="9"/>
      <c r="K382" s="52"/>
      <c r="L382" s="61"/>
      <c r="M382" s="8"/>
      <c r="N382" s="10"/>
    </row>
    <row r="383" spans="1:14" x14ac:dyDescent="0.25">
      <c r="A383" s="61"/>
      <c r="B383" s="1"/>
      <c r="C383" s="8"/>
      <c r="D383" s="100"/>
      <c r="E383" s="8"/>
      <c r="F383" s="8"/>
      <c r="G383" s="10"/>
      <c r="H383" s="10"/>
      <c r="I383" s="117"/>
      <c r="J383" s="52"/>
      <c r="K383" s="52"/>
      <c r="L383" s="8"/>
      <c r="M383" s="12"/>
      <c r="N383" s="121"/>
    </row>
    <row r="384" spans="1:14" x14ac:dyDescent="0.25">
      <c r="A384" s="10"/>
      <c r="B384" s="10"/>
      <c r="C384" s="8"/>
      <c r="D384" s="100"/>
      <c r="E384" s="8"/>
      <c r="F384" s="8"/>
      <c r="G384" s="52"/>
      <c r="H384" s="10"/>
      <c r="I384" s="117"/>
      <c r="J384" s="10"/>
      <c r="K384" s="52"/>
      <c r="L384" s="8"/>
      <c r="M384" s="107"/>
      <c r="N384" s="10"/>
    </row>
    <row r="385" spans="1:14" x14ac:dyDescent="0.25">
      <c r="A385" s="61"/>
      <c r="B385" s="1"/>
      <c r="C385" s="8"/>
      <c r="D385" s="100"/>
      <c r="E385" s="8"/>
      <c r="F385" s="10"/>
      <c r="G385" s="10"/>
      <c r="H385" s="10"/>
      <c r="I385" s="10"/>
      <c r="J385" s="52"/>
      <c r="K385" s="52"/>
      <c r="L385" s="8"/>
      <c r="M385" s="8"/>
      <c r="N385" s="122"/>
    </row>
    <row r="386" spans="1:14" x14ac:dyDescent="0.25">
      <c r="A386" s="10"/>
      <c r="B386" s="10"/>
      <c r="C386" s="8"/>
      <c r="D386" s="100"/>
      <c r="E386" s="8"/>
      <c r="F386" s="8"/>
      <c r="G386" s="52"/>
      <c r="H386" s="10"/>
      <c r="I386" s="10"/>
      <c r="J386" s="52"/>
      <c r="K386" s="52"/>
      <c r="L386" s="8"/>
      <c r="M386" s="107"/>
      <c r="N386" s="61"/>
    </row>
    <row r="387" spans="1:14" x14ac:dyDescent="0.25">
      <c r="A387" s="77"/>
      <c r="B387" s="12"/>
      <c r="C387" s="8"/>
      <c r="D387" s="8"/>
      <c r="E387" s="8"/>
      <c r="F387" s="8"/>
      <c r="G387" s="52"/>
      <c r="H387" s="10"/>
      <c r="I387" s="117"/>
      <c r="J387" s="52"/>
      <c r="K387" s="52"/>
      <c r="L387" s="8"/>
      <c r="M387" s="8"/>
      <c r="N387" s="61"/>
    </row>
    <row r="388" spans="1:14" x14ac:dyDescent="0.25">
      <c r="A388" s="10"/>
      <c r="B388" s="10"/>
      <c r="C388" s="8"/>
      <c r="D388" s="8"/>
      <c r="E388" s="8"/>
      <c r="F388" s="8"/>
      <c r="G388" s="52"/>
      <c r="H388" s="10"/>
      <c r="I388" s="10"/>
      <c r="J388" s="52"/>
      <c r="K388" s="52"/>
      <c r="L388" s="8"/>
      <c r="M388" s="8"/>
      <c r="N388" s="113"/>
    </row>
    <row r="389" spans="1:14" x14ac:dyDescent="0.25">
      <c r="A389" s="61"/>
      <c r="B389" s="1"/>
      <c r="C389" s="8"/>
      <c r="D389" s="61"/>
      <c r="E389" s="77"/>
      <c r="F389" s="77"/>
      <c r="G389" s="12"/>
      <c r="H389" s="12"/>
      <c r="I389" s="12"/>
      <c r="J389" s="13"/>
      <c r="K389" s="52"/>
      <c r="L389" s="61"/>
      <c r="M389" s="12"/>
      <c r="N389" s="61"/>
    </row>
    <row r="390" spans="1:14" x14ac:dyDescent="0.25">
      <c r="A390" s="61"/>
      <c r="B390" s="1"/>
      <c r="C390" s="8"/>
      <c r="D390" s="61"/>
      <c r="E390" s="77"/>
      <c r="F390" s="77"/>
      <c r="G390" s="12"/>
      <c r="H390" s="12"/>
      <c r="I390" s="12"/>
      <c r="J390" s="13"/>
      <c r="K390" s="52"/>
      <c r="L390" s="61"/>
      <c r="M390" s="12"/>
      <c r="N390" s="61"/>
    </row>
    <row r="391" spans="1:14" x14ac:dyDescent="0.25">
      <c r="A391" s="10"/>
      <c r="B391" s="10"/>
      <c r="C391" s="8"/>
      <c r="D391" s="61"/>
      <c r="E391" s="61"/>
      <c r="F391" s="61"/>
      <c r="G391" s="9"/>
      <c r="H391" s="1"/>
      <c r="I391" s="119"/>
      <c r="J391" s="123"/>
      <c r="K391" s="52"/>
      <c r="L391" s="61"/>
      <c r="M391" s="12"/>
      <c r="N391" s="61"/>
    </row>
    <row r="392" spans="1:14" x14ac:dyDescent="0.25">
      <c r="A392" s="61"/>
      <c r="B392" s="1"/>
      <c r="C392" s="8"/>
      <c r="D392" s="61"/>
      <c r="E392" s="61"/>
      <c r="F392" s="61"/>
      <c r="G392" s="9"/>
      <c r="H392" s="1"/>
      <c r="I392" s="119"/>
      <c r="J392" s="123"/>
      <c r="K392" s="52"/>
      <c r="L392" s="61"/>
      <c r="M392" s="8"/>
      <c r="N392" s="122"/>
    </row>
    <row r="393" spans="1:14" x14ac:dyDescent="0.25">
      <c r="A393" s="10"/>
      <c r="B393" s="10"/>
      <c r="C393" s="8"/>
      <c r="D393" s="100"/>
      <c r="E393" s="8"/>
      <c r="F393" s="8"/>
      <c r="G393" s="52"/>
      <c r="H393" s="10"/>
      <c r="I393" s="117"/>
      <c r="J393" s="10"/>
      <c r="K393" s="52"/>
      <c r="L393" s="8"/>
      <c r="M393" s="107"/>
      <c r="N393" s="61"/>
    </row>
    <row r="394" spans="1:14" x14ac:dyDescent="0.25">
      <c r="A394" s="61"/>
      <c r="B394" s="1"/>
      <c r="C394" s="8"/>
      <c r="D394" s="100"/>
      <c r="E394" s="8"/>
      <c r="F394" s="8"/>
      <c r="G394" s="52"/>
      <c r="H394" s="10"/>
      <c r="I394" s="10"/>
      <c r="J394" s="124"/>
      <c r="K394" s="52"/>
      <c r="L394" s="8"/>
      <c r="M394" s="8"/>
      <c r="N394" s="77"/>
    </row>
    <row r="395" spans="1:14" x14ac:dyDescent="0.25">
      <c r="A395" s="10"/>
      <c r="B395" s="10"/>
      <c r="C395" s="8"/>
      <c r="D395" s="61"/>
      <c r="E395" s="61"/>
      <c r="F395" s="92"/>
      <c r="G395" s="13"/>
      <c r="H395" s="12"/>
      <c r="I395" s="118"/>
      <c r="J395" s="13"/>
      <c r="K395" s="52"/>
      <c r="L395" s="61"/>
      <c r="M395" s="8"/>
      <c r="N395" s="61"/>
    </row>
    <row r="396" spans="1:14" x14ac:dyDescent="0.25">
      <c r="A396" s="10"/>
      <c r="B396" s="10"/>
      <c r="C396" s="8"/>
      <c r="D396" s="61"/>
      <c r="E396" s="61"/>
      <c r="F396" s="92"/>
      <c r="G396" s="13"/>
      <c r="H396" s="12"/>
      <c r="I396" s="118"/>
      <c r="J396" s="13"/>
      <c r="K396" s="52"/>
      <c r="L396" s="61"/>
      <c r="M396" s="12"/>
      <c r="N396" s="61"/>
    </row>
    <row r="397" spans="1:14" x14ac:dyDescent="0.25">
      <c r="A397" s="10"/>
      <c r="B397" s="10"/>
      <c r="C397" s="8"/>
      <c r="D397" s="61"/>
      <c r="E397" s="61"/>
      <c r="F397" s="92"/>
      <c r="G397" s="13"/>
      <c r="H397" s="12"/>
      <c r="I397" s="118"/>
      <c r="J397" s="13"/>
      <c r="K397" s="52"/>
      <c r="L397" s="61"/>
      <c r="M397" s="8"/>
      <c r="N397" s="8"/>
    </row>
    <row r="398" spans="1:14" x14ac:dyDescent="0.25">
      <c r="A398" s="10"/>
      <c r="B398" s="10"/>
      <c r="C398" s="8"/>
      <c r="D398" s="77"/>
      <c r="E398" s="77"/>
      <c r="F398" s="92"/>
      <c r="G398" s="13"/>
      <c r="H398" s="12"/>
      <c r="I398" s="118"/>
      <c r="J398" s="13"/>
      <c r="K398" s="52"/>
      <c r="L398" s="77"/>
      <c r="M398" s="12"/>
      <c r="N398" s="8"/>
    </row>
    <row r="399" spans="1:14" x14ac:dyDescent="0.25">
      <c r="A399" s="10"/>
      <c r="B399" s="10"/>
      <c r="C399" s="8"/>
      <c r="D399" s="61"/>
      <c r="E399" s="77"/>
      <c r="F399" s="92"/>
      <c r="G399" s="13"/>
      <c r="H399" s="12"/>
      <c r="I399" s="118"/>
      <c r="J399" s="13"/>
      <c r="K399" s="52"/>
      <c r="L399" s="61"/>
      <c r="M399" s="8"/>
      <c r="N399" s="10"/>
    </row>
    <row r="400" spans="1:14" x14ac:dyDescent="0.25">
      <c r="A400" s="10"/>
      <c r="B400" s="10"/>
      <c r="C400" s="8"/>
      <c r="D400" s="61"/>
      <c r="E400" s="77"/>
      <c r="F400" s="92"/>
      <c r="G400" s="13"/>
      <c r="H400" s="12"/>
      <c r="I400" s="118"/>
      <c r="J400" s="13"/>
      <c r="K400" s="52"/>
      <c r="L400" s="61"/>
      <c r="M400" s="8"/>
      <c r="N400" s="121"/>
    </row>
    <row r="401" spans="1:14" x14ac:dyDescent="0.25">
      <c r="A401" s="10"/>
      <c r="B401" s="10"/>
      <c r="C401" s="8"/>
      <c r="D401" s="61"/>
      <c r="E401" s="77"/>
      <c r="F401" s="77"/>
      <c r="G401" s="13"/>
      <c r="H401" s="12"/>
      <c r="I401" s="118"/>
      <c r="J401" s="10"/>
      <c r="K401" s="52"/>
      <c r="L401" s="61"/>
      <c r="M401" s="10"/>
      <c r="N401" s="10"/>
    </row>
    <row r="402" spans="1:14" x14ac:dyDescent="0.25">
      <c r="A402" s="61"/>
      <c r="B402" s="1"/>
      <c r="C402" s="8"/>
      <c r="D402" s="61"/>
      <c r="E402" s="77"/>
      <c r="F402" s="92"/>
      <c r="G402" s="13"/>
      <c r="H402" s="12"/>
      <c r="I402" s="118"/>
      <c r="J402" s="13"/>
      <c r="K402" s="52"/>
      <c r="L402" s="77"/>
      <c r="M402" s="12"/>
      <c r="N402" s="61"/>
    </row>
    <row r="403" spans="1:14" x14ac:dyDescent="0.25">
      <c r="A403" s="61"/>
      <c r="B403" s="1"/>
      <c r="C403" s="8"/>
      <c r="D403" s="61"/>
      <c r="E403" s="77"/>
      <c r="F403" s="92"/>
      <c r="G403" s="13"/>
      <c r="H403" s="12"/>
      <c r="I403" s="118"/>
      <c r="J403" s="13"/>
      <c r="K403" s="52"/>
      <c r="L403" s="61"/>
      <c r="M403" s="103"/>
      <c r="N403" s="122"/>
    </row>
    <row r="404" spans="1:14" x14ac:dyDescent="0.25">
      <c r="A404" s="10"/>
      <c r="B404" s="10"/>
      <c r="C404" s="8"/>
      <c r="D404" s="61"/>
      <c r="E404" s="77"/>
      <c r="F404" s="92"/>
      <c r="G404" s="13"/>
      <c r="H404" s="118"/>
      <c r="I404" s="10"/>
      <c r="J404" s="13"/>
      <c r="K404" s="52"/>
      <c r="L404" s="61"/>
      <c r="M404" s="8"/>
      <c r="N404" s="122"/>
    </row>
    <row r="405" spans="1:14" x14ac:dyDescent="0.25">
      <c r="A405" s="10"/>
      <c r="B405" s="10"/>
      <c r="C405" s="8"/>
      <c r="D405" s="61"/>
      <c r="E405" s="61"/>
      <c r="F405" s="94"/>
      <c r="G405" s="13"/>
      <c r="H405" s="1"/>
      <c r="I405" s="125"/>
      <c r="J405" s="9"/>
      <c r="K405" s="52"/>
      <c r="L405" s="61"/>
      <c r="M405" s="8"/>
      <c r="N405" s="61"/>
    </row>
    <row r="406" spans="1:14" x14ac:dyDescent="0.25">
      <c r="A406" s="126"/>
      <c r="B406" s="126"/>
      <c r="C406" s="8"/>
      <c r="D406" s="1"/>
      <c r="E406" s="1"/>
      <c r="F406" s="94"/>
      <c r="G406" s="13"/>
      <c r="H406" s="1"/>
      <c r="I406" s="125"/>
      <c r="J406" s="9"/>
      <c r="K406" s="52"/>
      <c r="L406" s="12"/>
      <c r="M406" s="8"/>
      <c r="N406" s="61"/>
    </row>
    <row r="407" spans="1:14" x14ac:dyDescent="0.25">
      <c r="A407" s="10"/>
      <c r="B407" s="10"/>
      <c r="C407" s="8"/>
      <c r="D407" s="61"/>
      <c r="E407" s="61"/>
      <c r="F407" s="94"/>
      <c r="G407" s="13"/>
      <c r="H407" s="1"/>
      <c r="I407" s="125"/>
      <c r="J407" s="9"/>
      <c r="K407" s="52"/>
      <c r="L407" s="61"/>
      <c r="M407" s="8"/>
      <c r="N407" s="61"/>
    </row>
    <row r="408" spans="1:14" x14ac:dyDescent="0.25">
      <c r="A408" s="10"/>
      <c r="B408" s="10"/>
      <c r="C408" s="8"/>
      <c r="D408" s="61"/>
      <c r="E408" s="61"/>
      <c r="F408" s="94"/>
      <c r="G408" s="9"/>
      <c r="H408" s="1"/>
      <c r="I408" s="125"/>
      <c r="J408" s="9"/>
      <c r="K408" s="52"/>
      <c r="L408" s="61"/>
      <c r="M408" s="8"/>
      <c r="N408" s="61"/>
    </row>
    <row r="409" spans="1:14" x14ac:dyDescent="0.25">
      <c r="A409" s="10"/>
      <c r="B409" s="10"/>
      <c r="C409" s="8"/>
      <c r="D409" s="61"/>
      <c r="E409" s="61"/>
      <c r="F409" s="94"/>
      <c r="G409" s="9"/>
      <c r="H409" s="1"/>
      <c r="I409" s="125"/>
      <c r="J409" s="9"/>
      <c r="K409" s="52"/>
      <c r="L409" s="61"/>
      <c r="M409" s="8"/>
      <c r="N409" s="61"/>
    </row>
    <row r="410" spans="1:14" x14ac:dyDescent="0.25">
      <c r="A410" s="10"/>
      <c r="B410" s="10"/>
      <c r="C410" s="8"/>
      <c r="D410" s="77"/>
      <c r="E410" s="77"/>
      <c r="F410" s="92"/>
      <c r="G410" s="13"/>
      <c r="H410" s="12"/>
      <c r="I410" s="118"/>
      <c r="J410" s="13"/>
      <c r="K410" s="52"/>
      <c r="L410" s="77"/>
      <c r="M410" s="8"/>
      <c r="N410" s="61"/>
    </row>
    <row r="411" spans="1:14" x14ac:dyDescent="0.25">
      <c r="A411" s="15"/>
      <c r="B411" s="15"/>
      <c r="C411" s="8"/>
      <c r="D411" s="61"/>
      <c r="E411" s="61"/>
      <c r="F411" s="94"/>
      <c r="G411" s="9"/>
      <c r="H411" s="1"/>
      <c r="I411" s="125"/>
      <c r="J411" s="123"/>
      <c r="K411" s="52"/>
      <c r="L411" s="61"/>
      <c r="M411" s="1"/>
      <c r="N411" s="61"/>
    </row>
    <row r="412" spans="1:14" x14ac:dyDescent="0.25">
      <c r="A412" s="10"/>
      <c r="B412" s="10"/>
      <c r="C412" s="8"/>
      <c r="D412" s="8"/>
      <c r="E412" s="8"/>
      <c r="F412" s="92"/>
      <c r="G412" s="13"/>
      <c r="H412" s="1"/>
      <c r="I412" s="125"/>
      <c r="J412" s="9"/>
      <c r="K412" s="52"/>
      <c r="L412" s="61"/>
      <c r="M412" s="12"/>
      <c r="N412" s="61"/>
    </row>
    <row r="413" spans="1:14" x14ac:dyDescent="0.25">
      <c r="A413" s="10"/>
      <c r="B413" s="10"/>
      <c r="C413" s="8"/>
      <c r="D413" s="8"/>
      <c r="E413" s="8"/>
      <c r="F413" s="61"/>
      <c r="G413" s="9"/>
      <c r="H413" s="1"/>
      <c r="I413" s="119"/>
      <c r="J413" s="9"/>
      <c r="K413" s="52"/>
      <c r="L413" s="61"/>
      <c r="M413" s="1"/>
      <c r="N413" s="61"/>
    </row>
    <row r="414" spans="1:14" x14ac:dyDescent="0.25">
      <c r="A414" s="15"/>
      <c r="B414" s="15"/>
      <c r="C414" s="8"/>
      <c r="D414" s="61"/>
      <c r="E414" s="61"/>
      <c r="F414" s="94"/>
      <c r="G414" s="1"/>
      <c r="H414" s="1"/>
      <c r="I414" s="1"/>
      <c r="J414" s="9"/>
      <c r="K414" s="52"/>
      <c r="L414" s="61"/>
      <c r="M414" s="8"/>
      <c r="N414" s="61"/>
    </row>
    <row r="415" spans="1:14" x14ac:dyDescent="0.25">
      <c r="A415" s="15"/>
      <c r="B415" s="15"/>
      <c r="C415" s="8"/>
      <c r="D415" s="61"/>
      <c r="E415" s="77"/>
      <c r="F415" s="92"/>
      <c r="G415" s="13"/>
      <c r="H415" s="12"/>
      <c r="I415" s="12"/>
      <c r="J415" s="13"/>
      <c r="K415" s="52"/>
      <c r="L415" s="77"/>
      <c r="M415" s="105"/>
      <c r="N415" s="61"/>
    </row>
    <row r="416" spans="1:14" x14ac:dyDescent="0.25">
      <c r="A416" s="61"/>
      <c r="B416" s="10"/>
      <c r="C416" s="8"/>
      <c r="D416" s="61"/>
      <c r="E416" s="77"/>
      <c r="F416" s="92"/>
      <c r="G416" s="12"/>
      <c r="H416" s="12"/>
      <c r="I416" s="12"/>
      <c r="J416" s="13"/>
      <c r="K416" s="52"/>
      <c r="L416" s="61"/>
      <c r="M416" s="8"/>
      <c r="N416" s="127"/>
    </row>
    <row r="417" spans="1:14" x14ac:dyDescent="0.25">
      <c r="A417" s="77"/>
      <c r="B417" s="10"/>
      <c r="C417" s="8"/>
      <c r="D417" s="77"/>
      <c r="E417" s="77"/>
      <c r="F417" s="92"/>
      <c r="G417" s="13"/>
      <c r="H417" s="12"/>
      <c r="I417" s="12"/>
      <c r="J417" s="13"/>
      <c r="K417" s="52"/>
      <c r="L417" s="61"/>
      <c r="M417" s="8"/>
      <c r="N417" s="110"/>
    </row>
    <row r="418" spans="1:14" x14ac:dyDescent="0.25">
      <c r="A418" s="77"/>
      <c r="B418" s="10"/>
      <c r="C418" s="8"/>
      <c r="D418" s="77"/>
      <c r="E418" s="77"/>
      <c r="F418" s="92"/>
      <c r="G418" s="13"/>
      <c r="H418" s="12"/>
      <c r="I418" s="12"/>
      <c r="J418" s="13"/>
      <c r="K418" s="52"/>
      <c r="L418" s="61"/>
      <c r="M418" s="8"/>
      <c r="N418" s="8"/>
    </row>
    <row r="419" spans="1:14" x14ac:dyDescent="0.25">
      <c r="A419" s="61"/>
      <c r="B419" s="10"/>
      <c r="C419" s="8"/>
      <c r="D419" s="61"/>
      <c r="E419" s="61"/>
      <c r="F419" s="94"/>
      <c r="G419" s="1"/>
      <c r="H419" s="1"/>
      <c r="I419" s="1"/>
      <c r="J419" s="9"/>
      <c r="K419" s="52"/>
      <c r="L419" s="61"/>
      <c r="M419" s="8"/>
      <c r="N419" s="10"/>
    </row>
    <row r="420" spans="1:14" x14ac:dyDescent="0.25">
      <c r="A420" s="61"/>
      <c r="B420" s="10"/>
      <c r="C420" s="8"/>
      <c r="D420" s="61"/>
      <c r="E420" s="77"/>
      <c r="F420" s="92"/>
      <c r="G420" s="13"/>
      <c r="H420" s="12"/>
      <c r="I420" s="12"/>
      <c r="J420" s="13"/>
      <c r="K420" s="52"/>
      <c r="L420" s="77"/>
      <c r="M420" s="8"/>
      <c r="N420" s="61"/>
    </row>
    <row r="421" spans="1:14" x14ac:dyDescent="0.25">
      <c r="A421" s="61"/>
      <c r="B421" s="15"/>
      <c r="C421" s="8"/>
      <c r="D421" s="61"/>
      <c r="E421" s="61"/>
      <c r="F421" s="94"/>
      <c r="G421" s="9"/>
      <c r="H421" s="1"/>
      <c r="I421" s="1"/>
      <c r="J421" s="9"/>
      <c r="K421" s="52"/>
      <c r="L421" s="61"/>
      <c r="M421" s="8"/>
      <c r="N421" s="61"/>
    </row>
    <row r="422" spans="1:14" x14ac:dyDescent="0.25">
      <c r="A422" s="61"/>
      <c r="B422" s="15"/>
      <c r="C422" s="8"/>
      <c r="D422" s="61"/>
      <c r="E422" s="77"/>
      <c r="F422" s="77"/>
      <c r="G422" s="12"/>
      <c r="H422" s="12"/>
      <c r="I422" s="118"/>
      <c r="J422" s="13"/>
      <c r="K422" s="52"/>
      <c r="L422" s="61"/>
      <c r="M422" s="12"/>
      <c r="N422" s="61"/>
    </row>
    <row r="423" spans="1:14" x14ac:dyDescent="0.25">
      <c r="A423" s="77"/>
      <c r="B423" s="10"/>
      <c r="C423" s="8"/>
      <c r="D423" s="77"/>
      <c r="E423" s="77"/>
      <c r="F423" s="77"/>
      <c r="G423" s="13"/>
      <c r="H423" s="12"/>
      <c r="I423" s="118"/>
      <c r="J423" s="13"/>
      <c r="K423" s="52"/>
      <c r="L423" s="77"/>
      <c r="M423" s="8"/>
      <c r="N423" s="77"/>
    </row>
    <row r="424" spans="1:14" x14ac:dyDescent="0.25">
      <c r="A424" s="61"/>
      <c r="B424" s="10"/>
      <c r="C424" s="8"/>
      <c r="D424" s="61"/>
      <c r="E424" s="77"/>
      <c r="F424" s="77"/>
      <c r="G424" s="13"/>
      <c r="H424" s="12"/>
      <c r="I424" s="12"/>
      <c r="J424" s="13"/>
      <c r="K424" s="52"/>
      <c r="L424" s="61"/>
      <c r="M424" s="8"/>
      <c r="N424" s="61"/>
    </row>
    <row r="425" spans="1:14" x14ac:dyDescent="0.25">
      <c r="A425" s="61"/>
      <c r="B425" s="10"/>
      <c r="C425" s="8"/>
      <c r="D425" s="61"/>
      <c r="E425" s="77"/>
      <c r="F425" s="77"/>
      <c r="G425" s="13"/>
      <c r="H425" s="12"/>
      <c r="I425" s="12"/>
      <c r="J425" s="13"/>
      <c r="K425" s="52"/>
      <c r="L425" s="61"/>
      <c r="M425" s="8"/>
      <c r="N425" s="61"/>
    </row>
    <row r="426" spans="1:14" x14ac:dyDescent="0.25">
      <c r="A426" s="61"/>
      <c r="B426" s="10"/>
      <c r="C426" s="8"/>
      <c r="D426" s="61"/>
      <c r="E426" s="61"/>
      <c r="F426" s="94"/>
      <c r="G426" s="1"/>
      <c r="H426" s="1"/>
      <c r="I426" s="1"/>
      <c r="J426" s="9"/>
      <c r="K426" s="52"/>
      <c r="L426" s="61"/>
      <c r="M426" s="8"/>
      <c r="N426" s="127"/>
    </row>
    <row r="427" spans="1:14" x14ac:dyDescent="0.25">
      <c r="A427" s="61"/>
      <c r="B427" s="10"/>
      <c r="C427" s="8"/>
      <c r="D427" s="61"/>
      <c r="E427" s="61"/>
      <c r="F427" s="94"/>
      <c r="G427" s="9"/>
      <c r="H427" s="1"/>
      <c r="I427" s="1"/>
      <c r="J427" s="9"/>
      <c r="K427" s="52"/>
      <c r="L427" s="77"/>
      <c r="M427" s="8"/>
      <c r="N427" s="61"/>
    </row>
    <row r="428" spans="1:14" x14ac:dyDescent="0.25">
      <c r="A428" s="61"/>
      <c r="B428" s="10"/>
      <c r="C428" s="8"/>
      <c r="D428" s="61"/>
      <c r="E428" s="8"/>
      <c r="F428" s="8"/>
      <c r="G428" s="52"/>
      <c r="H428" s="10"/>
      <c r="I428" s="10"/>
      <c r="J428" s="52"/>
      <c r="K428" s="52"/>
      <c r="L428" s="8"/>
      <c r="M428" s="8"/>
      <c r="N428" s="127"/>
    </row>
    <row r="429" spans="1:14" x14ac:dyDescent="0.25">
      <c r="A429" s="61"/>
      <c r="B429" s="10"/>
      <c r="C429" s="8"/>
      <c r="D429" s="61"/>
      <c r="E429" s="61"/>
      <c r="F429" s="94"/>
      <c r="G429" s="9"/>
      <c r="H429" s="1"/>
      <c r="I429" s="1"/>
      <c r="J429" s="9"/>
      <c r="K429" s="52"/>
      <c r="L429" s="77"/>
      <c r="M429" s="8"/>
      <c r="N429" s="61"/>
    </row>
    <row r="430" spans="1:14" x14ac:dyDescent="0.25">
      <c r="A430" s="61"/>
      <c r="B430" s="10"/>
      <c r="C430" s="8"/>
      <c r="D430" s="61"/>
      <c r="E430" s="77"/>
      <c r="F430" s="92"/>
      <c r="G430" s="13"/>
      <c r="H430" s="12"/>
      <c r="I430" s="12"/>
      <c r="J430" s="13"/>
      <c r="K430" s="52"/>
      <c r="L430" s="61"/>
      <c r="M430" s="8"/>
      <c r="N430" s="77"/>
    </row>
    <row r="431" spans="1:14" x14ac:dyDescent="0.25">
      <c r="A431" s="61"/>
      <c r="B431" s="10"/>
      <c r="C431" s="8"/>
      <c r="D431" s="61"/>
      <c r="E431" s="77"/>
      <c r="F431" s="92"/>
      <c r="G431" s="13"/>
      <c r="H431" s="12"/>
      <c r="I431" s="12"/>
      <c r="J431" s="13"/>
      <c r="K431" s="52"/>
      <c r="L431" s="61"/>
      <c r="M431" s="8"/>
      <c r="N431" s="77"/>
    </row>
    <row r="432" spans="1:14" x14ac:dyDescent="0.25">
      <c r="A432" s="61"/>
      <c r="B432" s="10"/>
      <c r="C432" s="8"/>
      <c r="D432" s="61"/>
      <c r="E432" s="77"/>
      <c r="F432" s="92"/>
      <c r="G432" s="13"/>
      <c r="H432" s="12"/>
      <c r="I432" s="12"/>
      <c r="J432" s="13"/>
      <c r="K432" s="52"/>
      <c r="L432" s="61"/>
      <c r="M432" s="8"/>
      <c r="N432" s="61"/>
    </row>
    <row r="433" spans="1:14" x14ac:dyDescent="0.25">
      <c r="A433" s="61"/>
      <c r="B433" s="10"/>
      <c r="C433" s="8"/>
      <c r="D433" s="61"/>
      <c r="E433" s="77"/>
      <c r="F433" s="77"/>
      <c r="G433" s="13"/>
      <c r="H433" s="12"/>
      <c r="I433" s="12"/>
      <c r="J433" s="13"/>
      <c r="K433" s="52"/>
      <c r="L433" s="61"/>
      <c r="M433" s="8"/>
      <c r="N433" s="61"/>
    </row>
    <row r="434" spans="1:14" x14ac:dyDescent="0.25">
      <c r="A434" s="61"/>
      <c r="B434" s="10"/>
      <c r="C434" s="8"/>
      <c r="D434" s="61"/>
      <c r="E434" s="77"/>
      <c r="F434" s="92"/>
      <c r="G434" s="13"/>
      <c r="H434" s="12"/>
      <c r="I434" s="12"/>
      <c r="J434" s="13"/>
      <c r="K434" s="52"/>
      <c r="L434" s="61"/>
      <c r="M434" s="128"/>
      <c r="N434" s="61"/>
    </row>
    <row r="435" spans="1:14" x14ac:dyDescent="0.25">
      <c r="A435" s="15"/>
      <c r="B435" s="15"/>
      <c r="C435" s="8"/>
      <c r="D435" s="61"/>
      <c r="E435" s="77"/>
      <c r="F435" s="92"/>
      <c r="G435" s="13"/>
      <c r="H435" s="12"/>
      <c r="I435" s="12"/>
      <c r="J435" s="13"/>
      <c r="K435" s="52"/>
      <c r="L435" s="61"/>
      <c r="M435" s="8"/>
      <c r="N435" s="61"/>
    </row>
    <row r="436" spans="1:14" x14ac:dyDescent="0.25">
      <c r="A436" s="61"/>
      <c r="B436" s="15"/>
      <c r="C436" s="8"/>
      <c r="D436" s="61"/>
      <c r="E436" s="61"/>
      <c r="F436" s="94"/>
      <c r="G436" s="9"/>
      <c r="H436" s="1"/>
      <c r="I436" s="1"/>
      <c r="J436" s="9"/>
      <c r="K436" s="52"/>
      <c r="L436" s="61"/>
      <c r="M436" s="8"/>
      <c r="N436" s="129"/>
    </row>
    <row r="437" spans="1:14" x14ac:dyDescent="0.25">
      <c r="A437" s="61"/>
      <c r="B437" s="15"/>
      <c r="C437" s="8"/>
      <c r="D437" s="61"/>
      <c r="E437" s="77"/>
      <c r="F437" s="92"/>
      <c r="G437" s="13"/>
      <c r="H437" s="12"/>
      <c r="I437" s="12"/>
      <c r="J437" s="13"/>
      <c r="K437" s="52"/>
      <c r="L437" s="77"/>
      <c r="M437" s="8"/>
      <c r="N437" s="61"/>
    </row>
    <row r="438" spans="1:14" x14ac:dyDescent="0.25">
      <c r="A438" s="61"/>
      <c r="B438" s="1"/>
      <c r="C438" s="8"/>
      <c r="D438" s="61"/>
      <c r="E438" s="61"/>
      <c r="F438" s="92"/>
      <c r="G438" s="13"/>
      <c r="H438" s="12"/>
      <c r="I438" s="12"/>
      <c r="J438" s="13"/>
      <c r="K438" s="52"/>
      <c r="L438" s="61"/>
      <c r="M438" s="8"/>
      <c r="N438" s="61"/>
    </row>
    <row r="439" spans="1:14" x14ac:dyDescent="0.25">
      <c r="A439" s="15"/>
      <c r="B439" s="1"/>
      <c r="C439" s="8"/>
      <c r="D439" s="61"/>
      <c r="E439" s="61"/>
      <c r="F439" s="77"/>
      <c r="G439" s="13"/>
      <c r="H439" s="12"/>
      <c r="I439" s="12"/>
      <c r="J439" s="13"/>
      <c r="K439" s="52"/>
      <c r="L439" s="61"/>
      <c r="M439" s="103"/>
      <c r="N439" s="61"/>
    </row>
    <row r="440" spans="1:14" x14ac:dyDescent="0.25">
      <c r="A440" s="15"/>
      <c r="B440" s="15"/>
      <c r="C440" s="8"/>
      <c r="D440" s="61"/>
      <c r="E440" s="61"/>
      <c r="F440" s="94"/>
      <c r="G440" s="9"/>
      <c r="H440" s="1"/>
      <c r="I440" s="1"/>
      <c r="J440" s="9"/>
      <c r="K440" s="52"/>
      <c r="L440" s="61"/>
      <c r="M440" s="8"/>
      <c r="N440" s="61"/>
    </row>
    <row r="441" spans="1:14" x14ac:dyDescent="0.25">
      <c r="A441" s="15"/>
      <c r="B441" s="1"/>
      <c r="C441" s="8"/>
      <c r="D441" s="61"/>
      <c r="E441" s="61"/>
      <c r="F441" s="94"/>
      <c r="G441" s="9"/>
      <c r="H441" s="1"/>
      <c r="I441" s="1"/>
      <c r="J441" s="9"/>
      <c r="K441" s="52"/>
      <c r="L441" s="61"/>
      <c r="M441" s="8"/>
      <c r="N441" s="61"/>
    </row>
    <row r="442" spans="1:14" x14ac:dyDescent="0.25">
      <c r="A442" s="10"/>
      <c r="B442" s="10"/>
      <c r="C442" s="8"/>
      <c r="D442" s="61"/>
      <c r="E442" s="61"/>
      <c r="F442" s="94"/>
      <c r="G442" s="1"/>
      <c r="H442" s="1"/>
      <c r="I442" s="1"/>
      <c r="J442" s="9"/>
      <c r="K442" s="52"/>
      <c r="L442" s="61"/>
      <c r="M442" s="8"/>
      <c r="N442" s="122"/>
    </row>
    <row r="443" spans="1:14" x14ac:dyDescent="0.25">
      <c r="A443" s="10"/>
      <c r="B443" s="1"/>
      <c r="C443" s="8"/>
      <c r="D443" s="61"/>
      <c r="E443" s="61"/>
      <c r="F443" s="94"/>
      <c r="G443" s="9"/>
      <c r="H443" s="1"/>
      <c r="I443" s="1"/>
      <c r="J443" s="9"/>
      <c r="K443" s="52"/>
      <c r="L443" s="61"/>
      <c r="M443" s="8"/>
      <c r="N443" s="129"/>
    </row>
    <row r="444" spans="1:14" x14ac:dyDescent="0.25">
      <c r="A444" s="61"/>
      <c r="B444" s="1"/>
      <c r="C444" s="8"/>
      <c r="D444" s="61"/>
      <c r="E444" s="61"/>
      <c r="F444" s="94"/>
      <c r="G444" s="9"/>
      <c r="H444" s="1"/>
      <c r="I444" s="1"/>
      <c r="J444" s="9"/>
      <c r="K444" s="52"/>
      <c r="L444" s="77"/>
      <c r="M444" s="8"/>
      <c r="N444" s="129"/>
    </row>
    <row r="445" spans="1:14" x14ac:dyDescent="0.25">
      <c r="A445" s="15"/>
      <c r="B445" s="15"/>
      <c r="C445" s="8"/>
      <c r="D445" s="61"/>
      <c r="E445" s="61"/>
      <c r="F445" s="94"/>
      <c r="G445" s="9"/>
      <c r="H445" s="1"/>
      <c r="I445" s="1"/>
      <c r="J445" s="9"/>
      <c r="K445" s="52"/>
      <c r="L445" s="61"/>
      <c r="M445" s="8"/>
      <c r="N445" s="61"/>
    </row>
    <row r="446" spans="1:14" x14ac:dyDescent="0.25">
      <c r="A446" s="15"/>
      <c r="B446" s="15"/>
      <c r="C446" s="8"/>
      <c r="D446" s="77"/>
      <c r="E446" s="61"/>
      <c r="F446" s="94"/>
      <c r="G446" s="9"/>
      <c r="H446" s="1"/>
      <c r="I446" s="1"/>
      <c r="J446" s="9"/>
      <c r="K446" s="52"/>
      <c r="L446" s="61"/>
      <c r="M446" s="8"/>
      <c r="N446" s="129"/>
    </row>
    <row r="447" spans="1:14" x14ac:dyDescent="0.25">
      <c r="A447" s="10"/>
      <c r="B447" s="10"/>
      <c r="C447" s="8"/>
      <c r="D447" s="77"/>
      <c r="E447" s="61"/>
      <c r="F447" s="94"/>
      <c r="G447" s="9"/>
      <c r="H447" s="1"/>
      <c r="I447" s="1"/>
      <c r="J447" s="9"/>
      <c r="K447" s="52"/>
      <c r="L447" s="77"/>
      <c r="M447" s="8"/>
      <c r="N447" s="77"/>
    </row>
    <row r="448" spans="1:14" x14ac:dyDescent="0.25">
      <c r="A448" s="61"/>
      <c r="B448" s="15"/>
      <c r="C448" s="8"/>
      <c r="D448" s="61"/>
      <c r="E448" s="61"/>
      <c r="F448" s="94"/>
      <c r="G448" s="1"/>
      <c r="H448" s="1"/>
      <c r="I448" s="1"/>
      <c r="J448" s="9"/>
      <c r="K448" s="52"/>
      <c r="L448" s="61"/>
      <c r="M448" s="10"/>
      <c r="N448" s="61"/>
    </row>
    <row r="449" spans="1:14" x14ac:dyDescent="0.25">
      <c r="A449" s="77"/>
      <c r="B449" s="15"/>
      <c r="C449" s="8"/>
      <c r="D449" s="77"/>
      <c r="E449" s="61"/>
      <c r="F449" s="94"/>
      <c r="G449" s="9"/>
      <c r="H449" s="1"/>
      <c r="I449" s="1"/>
      <c r="J449" s="9"/>
      <c r="K449" s="52"/>
      <c r="L449" s="77"/>
      <c r="M449" s="8"/>
      <c r="N449" s="61"/>
    </row>
    <row r="450" spans="1:14" x14ac:dyDescent="0.25">
      <c r="A450" s="61"/>
      <c r="B450" s="15"/>
      <c r="C450" s="8"/>
      <c r="D450" s="61"/>
      <c r="E450" s="61"/>
      <c r="F450" s="94"/>
      <c r="G450" s="9"/>
      <c r="H450" s="1"/>
      <c r="I450" s="1"/>
      <c r="J450" s="9"/>
      <c r="K450" s="52"/>
      <c r="L450" s="61"/>
      <c r="M450" s="8"/>
      <c r="N450" s="77"/>
    </row>
    <row r="451" spans="1:14" x14ac:dyDescent="0.25">
      <c r="A451" s="15"/>
      <c r="B451" s="15"/>
      <c r="C451" s="8"/>
      <c r="D451" s="61"/>
      <c r="E451" s="61"/>
      <c r="F451" s="94"/>
      <c r="G451" s="13"/>
      <c r="H451" s="1"/>
      <c r="I451" s="1"/>
      <c r="J451" s="9"/>
      <c r="K451" s="52"/>
      <c r="L451" s="61"/>
      <c r="M451" s="8"/>
      <c r="N451" s="61"/>
    </row>
    <row r="452" spans="1:14" x14ac:dyDescent="0.25">
      <c r="A452" s="15"/>
      <c r="B452" s="15"/>
      <c r="C452" s="8"/>
      <c r="D452" s="77"/>
      <c r="E452" s="12"/>
      <c r="F452" s="13"/>
      <c r="G452" s="13"/>
      <c r="H452" s="12"/>
      <c r="I452" s="12"/>
      <c r="J452" s="13"/>
      <c r="K452" s="52"/>
      <c r="L452" s="77"/>
      <c r="M452" s="26"/>
      <c r="N452" s="127"/>
    </row>
    <row r="453" spans="1:14" x14ac:dyDescent="0.25">
      <c r="A453" s="61"/>
      <c r="B453" s="10"/>
      <c r="C453" s="8"/>
      <c r="D453" s="61"/>
      <c r="E453" s="8"/>
      <c r="F453" s="61"/>
      <c r="G453" s="9"/>
      <c r="H453" s="1"/>
      <c r="I453" s="1"/>
      <c r="J453" s="9"/>
      <c r="K453" s="52"/>
      <c r="L453" s="77"/>
      <c r="M453" s="8"/>
      <c r="N453" s="61"/>
    </row>
    <row r="454" spans="1:14" x14ac:dyDescent="0.25">
      <c r="A454" s="61"/>
      <c r="B454" s="10"/>
      <c r="C454" s="8"/>
      <c r="D454" s="61"/>
      <c r="E454" s="77"/>
      <c r="F454" s="92"/>
      <c r="G454" s="13"/>
      <c r="H454" s="12"/>
      <c r="I454" s="12"/>
      <c r="J454" s="13"/>
      <c r="K454" s="52"/>
      <c r="L454" s="77"/>
      <c r="M454" s="107"/>
      <c r="N454" s="61"/>
    </row>
    <row r="455" spans="1:14" x14ac:dyDescent="0.25">
      <c r="A455" s="15"/>
      <c r="B455" s="15"/>
      <c r="C455" s="8"/>
      <c r="D455" s="61"/>
      <c r="E455" s="61"/>
      <c r="F455" s="92"/>
      <c r="G455" s="13"/>
      <c r="H455" s="12"/>
      <c r="I455" s="12"/>
      <c r="J455" s="13"/>
      <c r="K455" s="52"/>
      <c r="L455" s="61"/>
      <c r="M455" s="8"/>
      <c r="N455" s="61"/>
    </row>
    <row r="456" spans="1:14" x14ac:dyDescent="0.25">
      <c r="A456" s="15"/>
      <c r="B456" s="15"/>
      <c r="C456" s="8"/>
      <c r="D456" s="61"/>
      <c r="E456" s="77"/>
      <c r="F456" s="92"/>
      <c r="G456" s="13"/>
      <c r="H456" s="12"/>
      <c r="I456" s="12"/>
      <c r="J456" s="13"/>
      <c r="K456" s="52"/>
      <c r="L456" s="77"/>
      <c r="M456" s="8"/>
      <c r="N456" s="61"/>
    </row>
    <row r="457" spans="1:14" x14ac:dyDescent="0.25">
      <c r="A457" s="61"/>
      <c r="B457" s="1"/>
      <c r="C457" s="8"/>
      <c r="D457" s="61"/>
      <c r="E457" s="61"/>
      <c r="F457" s="94"/>
      <c r="G457" s="9"/>
      <c r="H457" s="1"/>
      <c r="I457" s="119"/>
      <c r="J457" s="9"/>
      <c r="K457" s="52"/>
      <c r="L457" s="61"/>
      <c r="M457" s="8"/>
      <c r="N457" s="61"/>
    </row>
    <row r="458" spans="1:14" x14ac:dyDescent="0.25">
      <c r="A458" s="61"/>
      <c r="B458" s="1"/>
      <c r="C458" s="8"/>
      <c r="D458" s="61"/>
      <c r="E458" s="77"/>
      <c r="F458" s="92"/>
      <c r="G458" s="13"/>
      <c r="H458" s="12"/>
      <c r="I458" s="12"/>
      <c r="J458" s="13"/>
      <c r="K458" s="52"/>
      <c r="L458" s="61"/>
      <c r="M458" s="8"/>
      <c r="N458" s="61"/>
    </row>
    <row r="459" spans="1:14" x14ac:dyDescent="0.25">
      <c r="A459" s="61"/>
      <c r="B459" s="1"/>
      <c r="C459" s="8"/>
      <c r="D459" s="61"/>
      <c r="E459" s="77"/>
      <c r="F459" s="94"/>
      <c r="G459" s="9"/>
      <c r="H459" s="1"/>
      <c r="I459" s="1"/>
      <c r="J459" s="13"/>
      <c r="K459" s="52"/>
      <c r="L459" s="61"/>
      <c r="M459" s="103"/>
      <c r="N459" s="77"/>
    </row>
    <row r="460" spans="1:14" x14ac:dyDescent="0.25">
      <c r="A460" s="10"/>
      <c r="B460" s="10"/>
      <c r="C460" s="8"/>
      <c r="D460" s="61"/>
      <c r="E460" s="12"/>
      <c r="F460" s="13"/>
      <c r="G460" s="13"/>
      <c r="H460" s="12"/>
      <c r="I460" s="12"/>
      <c r="J460" s="13"/>
      <c r="K460" s="52"/>
      <c r="L460" s="61"/>
      <c r="M460" s="8"/>
      <c r="N460" s="77"/>
    </row>
    <row r="461" spans="1:14" x14ac:dyDescent="0.25">
      <c r="A461" s="61"/>
      <c r="B461" s="1"/>
      <c r="C461" s="8"/>
      <c r="D461" s="61"/>
      <c r="E461" s="61"/>
      <c r="F461" s="94"/>
      <c r="G461" s="9"/>
      <c r="H461" s="1"/>
      <c r="I461" s="1"/>
      <c r="J461" s="9"/>
      <c r="K461" s="52"/>
      <c r="L461" s="77"/>
      <c r="M461" s="1"/>
      <c r="N461" s="61"/>
    </row>
    <row r="462" spans="1:14" x14ac:dyDescent="0.25">
      <c r="A462" s="15"/>
      <c r="B462" s="15"/>
      <c r="C462" s="8"/>
      <c r="D462" s="61"/>
      <c r="E462" s="61"/>
      <c r="F462" s="94"/>
      <c r="G462" s="9"/>
      <c r="H462" s="1"/>
      <c r="I462" s="1"/>
      <c r="J462" s="13"/>
      <c r="K462" s="52"/>
      <c r="L462" s="61"/>
      <c r="M462" s="8"/>
      <c r="N462" s="77"/>
    </row>
    <row r="463" spans="1:14" x14ac:dyDescent="0.25">
      <c r="A463" s="15"/>
      <c r="B463" s="15"/>
      <c r="C463" s="8"/>
      <c r="D463" s="61"/>
      <c r="E463" s="77"/>
      <c r="F463" s="92"/>
      <c r="G463" s="13"/>
      <c r="H463" s="12"/>
      <c r="I463" s="12"/>
      <c r="J463" s="13"/>
      <c r="K463" s="52"/>
      <c r="L463" s="61"/>
      <c r="M463" s="103"/>
      <c r="N463" s="61"/>
    </row>
    <row r="464" spans="1:14" x14ac:dyDescent="0.25">
      <c r="A464" s="10"/>
      <c r="B464" s="10"/>
      <c r="C464" s="8"/>
      <c r="D464" s="77"/>
      <c r="E464" s="77"/>
      <c r="F464" s="92"/>
      <c r="G464" s="13"/>
      <c r="H464" s="12"/>
      <c r="I464" s="12"/>
      <c r="J464" s="13"/>
      <c r="K464" s="52"/>
      <c r="L464" s="77"/>
      <c r="M464" s="103"/>
      <c r="N464" s="61"/>
    </row>
    <row r="465" spans="1:14" x14ac:dyDescent="0.25">
      <c r="A465" s="15"/>
      <c r="B465" s="15"/>
      <c r="C465" s="8"/>
      <c r="D465" s="61"/>
      <c r="E465" s="77"/>
      <c r="F465" s="92"/>
      <c r="G465" s="12"/>
      <c r="H465" s="12"/>
      <c r="I465" s="12"/>
      <c r="J465" s="13"/>
      <c r="K465" s="52"/>
      <c r="L465" s="61"/>
      <c r="M465" s="103"/>
      <c r="N465" s="77"/>
    </row>
    <row r="466" spans="1:14" x14ac:dyDescent="0.25">
      <c r="A466" s="15"/>
      <c r="B466" s="15"/>
      <c r="C466" s="8"/>
      <c r="D466" s="61"/>
      <c r="E466" s="77"/>
      <c r="F466" s="92"/>
      <c r="G466" s="12"/>
      <c r="H466" s="12"/>
      <c r="I466" s="12"/>
      <c r="J466" s="13"/>
      <c r="K466" s="52"/>
      <c r="L466" s="77"/>
      <c r="M466" s="8"/>
      <c r="N466" s="61"/>
    </row>
    <row r="467" spans="1:14" x14ac:dyDescent="0.25">
      <c r="A467" s="15"/>
      <c r="B467" s="1"/>
      <c r="C467" s="8"/>
      <c r="D467" s="61"/>
      <c r="E467" s="61"/>
      <c r="F467" s="94"/>
      <c r="G467" s="9"/>
      <c r="H467" s="1"/>
      <c r="I467" s="1"/>
      <c r="J467" s="9"/>
      <c r="K467" s="52"/>
      <c r="L467" s="61"/>
      <c r="M467" s="108"/>
      <c r="N467" s="61"/>
    </row>
    <row r="468" spans="1:14" x14ac:dyDescent="0.25">
      <c r="A468" s="10"/>
      <c r="B468" s="1"/>
      <c r="C468" s="8"/>
      <c r="D468" s="61"/>
      <c r="E468" s="77"/>
      <c r="F468" s="92"/>
      <c r="G468" s="12"/>
      <c r="H468" s="12"/>
      <c r="I468" s="12"/>
      <c r="J468" s="13"/>
      <c r="K468" s="52"/>
      <c r="L468" s="61"/>
      <c r="M468" s="8"/>
      <c r="N468" s="61"/>
    </row>
    <row r="469" spans="1:14" x14ac:dyDescent="0.25">
      <c r="A469" s="10"/>
      <c r="B469" s="10"/>
      <c r="C469" s="8"/>
      <c r="D469" s="77"/>
      <c r="E469" s="77"/>
      <c r="F469" s="94"/>
      <c r="G469" s="9"/>
      <c r="H469" s="1"/>
      <c r="I469" s="119"/>
      <c r="J469" s="13"/>
      <c r="K469" s="52"/>
      <c r="L469" s="77"/>
      <c r="M469" s="10"/>
      <c r="N469" s="61"/>
    </row>
    <row r="470" spans="1:14" x14ac:dyDescent="0.25">
      <c r="A470" s="10"/>
      <c r="B470" s="10"/>
      <c r="C470" s="8"/>
      <c r="D470" s="77"/>
      <c r="E470" s="77"/>
      <c r="F470" s="94"/>
      <c r="G470" s="9"/>
      <c r="H470" s="1"/>
      <c r="I470" s="119"/>
      <c r="J470" s="13"/>
      <c r="K470" s="52"/>
      <c r="L470" s="77"/>
      <c r="M470" s="103"/>
      <c r="N470" s="61"/>
    </row>
    <row r="471" spans="1:14" x14ac:dyDescent="0.25">
      <c r="A471" s="10"/>
      <c r="B471" s="10"/>
      <c r="C471" s="8"/>
      <c r="D471" s="77"/>
      <c r="E471" s="77"/>
      <c r="F471" s="92"/>
      <c r="G471" s="13"/>
      <c r="H471" s="12"/>
      <c r="I471" s="12"/>
      <c r="J471" s="13"/>
      <c r="K471" s="52"/>
      <c r="L471" s="77"/>
      <c r="M471" s="103"/>
      <c r="N471" s="61"/>
    </row>
    <row r="472" spans="1:14" x14ac:dyDescent="0.25">
      <c r="A472" s="10"/>
      <c r="B472" s="10"/>
      <c r="C472" s="8"/>
      <c r="D472" s="77"/>
      <c r="E472" s="77"/>
      <c r="F472" s="92"/>
      <c r="G472" s="13"/>
      <c r="H472" s="12"/>
      <c r="I472" s="12"/>
      <c r="J472" s="13"/>
      <c r="K472" s="52"/>
      <c r="L472" s="77"/>
      <c r="M472" s="128"/>
      <c r="N472" s="61"/>
    </row>
    <row r="473" spans="1:14" x14ac:dyDescent="0.25">
      <c r="A473" s="10"/>
      <c r="B473" s="10"/>
      <c r="C473" s="8"/>
      <c r="D473" s="77"/>
      <c r="E473" s="77"/>
      <c r="F473" s="92"/>
      <c r="G473" s="13"/>
      <c r="H473" s="12"/>
      <c r="I473" s="12"/>
      <c r="J473" s="13"/>
      <c r="K473" s="52"/>
      <c r="L473" s="17"/>
      <c r="M473" s="8"/>
      <c r="N473" s="61"/>
    </row>
    <row r="474" spans="1:14" x14ac:dyDescent="0.25">
      <c r="A474" s="10"/>
      <c r="B474" s="10"/>
      <c r="C474" s="8"/>
      <c r="D474" s="77"/>
      <c r="E474" s="77"/>
      <c r="F474" s="92"/>
      <c r="G474" s="12"/>
      <c r="H474" s="12"/>
      <c r="I474" s="12"/>
      <c r="J474" s="13"/>
      <c r="K474" s="52"/>
      <c r="L474" s="77"/>
      <c r="M474" s="105"/>
      <c r="N474" s="127"/>
    </row>
    <row r="475" spans="1:14" x14ac:dyDescent="0.25">
      <c r="A475" s="10"/>
      <c r="B475" s="10"/>
      <c r="C475" s="8"/>
      <c r="D475" s="8"/>
      <c r="E475" s="8"/>
      <c r="F475" s="8"/>
      <c r="G475" s="52"/>
      <c r="H475" s="10"/>
      <c r="I475" s="117"/>
      <c r="J475" s="10"/>
      <c r="K475" s="52"/>
      <c r="L475" s="8"/>
      <c r="M475" s="107"/>
      <c r="N475" s="61"/>
    </row>
    <row r="476" spans="1:14" x14ac:dyDescent="0.25">
      <c r="A476" s="61"/>
      <c r="B476" s="1"/>
      <c r="C476" s="8"/>
      <c r="D476" s="100"/>
      <c r="E476" s="8"/>
      <c r="F476" s="8"/>
      <c r="G476" s="52"/>
      <c r="H476" s="10"/>
      <c r="I476" s="10"/>
      <c r="J476" s="124"/>
      <c r="K476" s="52"/>
      <c r="L476" s="8"/>
      <c r="M476" s="8"/>
      <c r="N476" s="127"/>
    </row>
    <row r="477" spans="1:14" x14ac:dyDescent="0.25">
      <c r="A477" s="77"/>
      <c r="B477" s="12"/>
      <c r="C477" s="8"/>
      <c r="D477" s="8"/>
      <c r="E477" s="8"/>
      <c r="F477" s="61"/>
      <c r="G477" s="9"/>
      <c r="H477" s="1"/>
      <c r="I477" s="1"/>
      <c r="J477" s="9"/>
      <c r="K477" s="52"/>
      <c r="L477" s="77"/>
      <c r="M477" s="12"/>
      <c r="N477" s="77"/>
    </row>
    <row r="478" spans="1:14" x14ac:dyDescent="0.25">
      <c r="A478" s="77"/>
      <c r="B478" s="12"/>
      <c r="C478" s="8"/>
      <c r="D478" s="8"/>
      <c r="E478" s="8"/>
      <c r="F478" s="61"/>
      <c r="G478" s="9"/>
      <c r="H478" s="1"/>
      <c r="I478" s="1"/>
      <c r="J478" s="13"/>
      <c r="K478" s="52"/>
      <c r="L478" s="77"/>
      <c r="M478" s="1"/>
      <c r="N478" s="61"/>
    </row>
    <row r="479" spans="1:14" x14ac:dyDescent="0.25">
      <c r="A479" s="77"/>
      <c r="B479" s="12"/>
      <c r="C479" s="8"/>
      <c r="D479" s="8"/>
      <c r="E479" s="8"/>
      <c r="F479" s="77"/>
      <c r="G479" s="13"/>
      <c r="H479" s="12"/>
      <c r="I479" s="12"/>
      <c r="J479" s="13"/>
      <c r="K479" s="52"/>
      <c r="L479" s="77"/>
      <c r="M479" s="12"/>
      <c r="N479" s="77"/>
    </row>
    <row r="480" spans="1:14" x14ac:dyDescent="0.25">
      <c r="A480" s="10"/>
      <c r="B480" s="10"/>
      <c r="C480" s="8"/>
      <c r="D480" s="8"/>
      <c r="E480" s="8"/>
      <c r="F480" s="77"/>
      <c r="G480" s="13"/>
      <c r="H480" s="12"/>
      <c r="I480" s="12"/>
      <c r="J480" s="13"/>
      <c r="K480" s="52"/>
      <c r="L480" s="77"/>
      <c r="M480" s="12"/>
      <c r="N480" s="61"/>
    </row>
    <row r="481" spans="1:14" x14ac:dyDescent="0.25">
      <c r="A481" s="77"/>
      <c r="B481" s="12"/>
      <c r="C481" s="8"/>
      <c r="D481" s="8"/>
      <c r="E481" s="8"/>
      <c r="F481" s="77"/>
      <c r="G481" s="13"/>
      <c r="H481" s="12"/>
      <c r="I481" s="12"/>
      <c r="J481" s="13"/>
      <c r="K481" s="52"/>
      <c r="L481" s="77"/>
      <c r="M481" s="12"/>
      <c r="N481" s="61"/>
    </row>
    <row r="482" spans="1:14" x14ac:dyDescent="0.25">
      <c r="A482" s="10"/>
      <c r="B482" s="10"/>
      <c r="C482" s="8"/>
      <c r="D482" s="8"/>
      <c r="E482" s="8"/>
      <c r="F482" s="77"/>
      <c r="G482" s="13"/>
      <c r="H482" s="12"/>
      <c r="I482" s="12"/>
      <c r="J482" s="13"/>
      <c r="K482" s="52"/>
      <c r="L482" s="77"/>
      <c r="M482" s="8"/>
      <c r="N482" s="77"/>
    </row>
    <row r="483" spans="1:14" x14ac:dyDescent="0.25">
      <c r="A483" s="10"/>
      <c r="B483" s="10"/>
      <c r="C483" s="8"/>
      <c r="D483" s="8"/>
      <c r="E483" s="8"/>
      <c r="F483" s="77"/>
      <c r="G483" s="13"/>
      <c r="H483" s="12"/>
      <c r="I483" s="12"/>
      <c r="J483" s="13"/>
      <c r="K483" s="52"/>
      <c r="L483" s="77"/>
      <c r="M483" s="12"/>
      <c r="N483" s="77"/>
    </row>
    <row r="484" spans="1:14" x14ac:dyDescent="0.25">
      <c r="A484" s="10"/>
      <c r="B484" s="10"/>
      <c r="C484" s="8"/>
      <c r="D484" s="77"/>
      <c r="E484" s="77"/>
      <c r="F484" s="92"/>
      <c r="G484" s="13"/>
      <c r="H484" s="12"/>
      <c r="I484" s="12"/>
      <c r="J484" s="13"/>
      <c r="K484" s="52"/>
      <c r="L484" s="77"/>
      <c r="M484" s="8"/>
      <c r="N484" s="77"/>
    </row>
    <row r="485" spans="1:14" x14ac:dyDescent="0.25">
      <c r="A485" s="77"/>
      <c r="B485" s="12"/>
      <c r="C485" s="8"/>
      <c r="D485" s="8"/>
      <c r="E485" s="8"/>
      <c r="F485" s="77"/>
      <c r="G485" s="13"/>
      <c r="H485" s="12"/>
      <c r="I485" s="118"/>
      <c r="J485" s="13"/>
      <c r="K485" s="52"/>
      <c r="L485" s="77"/>
      <c r="M485" s="8"/>
      <c r="N485" s="77"/>
    </row>
    <row r="486" spans="1:14" x14ac:dyDescent="0.25">
      <c r="A486" s="77"/>
      <c r="B486" s="12"/>
      <c r="C486" s="8"/>
      <c r="D486" s="8"/>
      <c r="E486" s="3"/>
      <c r="F486" s="80"/>
      <c r="G486" s="52"/>
      <c r="H486" s="10"/>
      <c r="I486" s="10"/>
      <c r="J486" s="52"/>
      <c r="K486" s="52"/>
      <c r="L486" s="76"/>
      <c r="M486" s="8"/>
      <c r="N486" s="106"/>
    </row>
    <row r="487" spans="1:14" x14ac:dyDescent="0.25">
      <c r="A487" s="77"/>
      <c r="B487" s="12"/>
      <c r="C487" s="8"/>
      <c r="D487" s="8"/>
      <c r="E487" s="3"/>
      <c r="F487" s="80"/>
      <c r="G487" s="52"/>
      <c r="H487" s="10"/>
      <c r="I487" s="10"/>
      <c r="J487" s="52"/>
      <c r="K487" s="52"/>
      <c r="L487" s="76"/>
      <c r="M487" s="113"/>
      <c r="N487" s="110"/>
    </row>
    <row r="488" spans="1:14" x14ac:dyDescent="0.25">
      <c r="A488" s="77"/>
      <c r="B488" s="12"/>
      <c r="C488" s="8"/>
      <c r="D488" s="8"/>
      <c r="E488" s="8"/>
      <c r="F488" s="80"/>
      <c r="G488" s="52"/>
      <c r="H488" s="10"/>
      <c r="I488" s="10"/>
      <c r="J488" s="52"/>
      <c r="K488" s="52"/>
      <c r="L488" s="76"/>
      <c r="M488" s="8"/>
      <c r="N488" s="77"/>
    </row>
    <row r="489" spans="1:14" x14ac:dyDescent="0.25">
      <c r="A489" s="77"/>
      <c r="B489" s="12"/>
      <c r="C489" s="8"/>
      <c r="D489" s="8"/>
      <c r="E489" s="61"/>
      <c r="F489" s="80"/>
      <c r="G489" s="9"/>
      <c r="H489" s="1"/>
      <c r="I489" s="1"/>
      <c r="J489" s="9"/>
      <c r="K489" s="52"/>
      <c r="L489" s="77"/>
      <c r="M489" s="8"/>
      <c r="N489" s="130"/>
    </row>
    <row r="490" spans="1:14" x14ac:dyDescent="0.25">
      <c r="A490" s="10"/>
      <c r="B490" s="10"/>
      <c r="C490" s="8"/>
      <c r="D490" s="8"/>
      <c r="E490" s="77"/>
      <c r="F490" s="92"/>
      <c r="G490" s="12"/>
      <c r="H490" s="12"/>
      <c r="I490" s="12"/>
      <c r="J490" s="13"/>
      <c r="K490" s="52"/>
      <c r="L490" s="61"/>
      <c r="M490" s="103"/>
      <c r="N490" s="77"/>
    </row>
    <row r="491" spans="1:14" x14ac:dyDescent="0.25">
      <c r="A491" s="10"/>
      <c r="B491" s="10"/>
      <c r="C491" s="8"/>
      <c r="D491" s="8"/>
      <c r="E491" s="8"/>
      <c r="F491" s="80"/>
      <c r="G491" s="9"/>
      <c r="H491" s="1"/>
      <c r="I491" s="1"/>
      <c r="J491" s="9"/>
      <c r="K491" s="52"/>
      <c r="L491" s="77"/>
      <c r="M491" s="8"/>
      <c r="N491" s="129"/>
    </row>
    <row r="492" spans="1:14" x14ac:dyDescent="0.25">
      <c r="A492" s="77"/>
      <c r="B492" s="12"/>
      <c r="C492" s="8"/>
      <c r="D492" s="8"/>
      <c r="E492" s="8"/>
      <c r="F492" s="77"/>
      <c r="G492" s="13"/>
      <c r="H492" s="12"/>
      <c r="I492" s="12"/>
      <c r="J492" s="13"/>
      <c r="K492" s="52"/>
      <c r="L492" s="77"/>
      <c r="M492" s="107"/>
      <c r="N492" s="129"/>
    </row>
    <row r="493" spans="1:14" x14ac:dyDescent="0.25">
      <c r="A493" s="77"/>
      <c r="B493" s="12"/>
      <c r="C493" s="8"/>
      <c r="D493" s="8"/>
      <c r="E493" s="8"/>
      <c r="F493" s="77"/>
      <c r="G493" s="13"/>
      <c r="H493" s="12"/>
      <c r="I493" s="12"/>
      <c r="J493" s="13"/>
      <c r="K493" s="52"/>
      <c r="L493" s="77"/>
      <c r="M493" s="8"/>
      <c r="N493" s="129"/>
    </row>
    <row r="494" spans="1:14" x14ac:dyDescent="0.25">
      <c r="A494" s="10"/>
      <c r="B494" s="10"/>
      <c r="C494" s="8"/>
      <c r="D494" s="8"/>
      <c r="E494" s="8"/>
      <c r="F494" s="10"/>
      <c r="G494" s="10"/>
      <c r="H494" s="10"/>
      <c r="I494" s="10"/>
      <c r="J494" s="52"/>
      <c r="K494" s="52"/>
      <c r="L494" s="8"/>
      <c r="M494" s="8"/>
      <c r="N494" s="129"/>
    </row>
    <row r="495" spans="1:14" x14ac:dyDescent="0.25">
      <c r="A495" s="10"/>
      <c r="B495" s="10"/>
      <c r="C495" s="8"/>
      <c r="D495" s="8"/>
      <c r="E495" s="8"/>
      <c r="F495" s="8"/>
      <c r="G495" s="52"/>
      <c r="H495" s="10"/>
      <c r="I495" s="10"/>
      <c r="J495" s="52"/>
      <c r="K495" s="52"/>
      <c r="L495" s="8"/>
      <c r="M495" s="8"/>
      <c r="N495" s="129"/>
    </row>
    <row r="496" spans="1:14" x14ac:dyDescent="0.25">
      <c r="A496" s="77"/>
      <c r="B496" s="12"/>
      <c r="C496" s="8"/>
      <c r="D496" s="8"/>
      <c r="E496" s="8"/>
      <c r="F496" s="8"/>
      <c r="G496" s="52"/>
      <c r="H496" s="10"/>
      <c r="I496" s="117"/>
      <c r="J496" s="52"/>
      <c r="K496" s="52"/>
      <c r="L496" s="8"/>
      <c r="M496" s="8"/>
      <c r="N496" s="129"/>
    </row>
    <row r="497" spans="1:14" x14ac:dyDescent="0.25">
      <c r="A497" s="10"/>
      <c r="B497" s="10"/>
      <c r="C497" s="8"/>
      <c r="D497" s="8"/>
      <c r="E497" s="8"/>
      <c r="F497" s="8"/>
      <c r="G497" s="52"/>
      <c r="H497" s="10"/>
      <c r="I497" s="10"/>
      <c r="J497" s="52"/>
      <c r="K497" s="52"/>
      <c r="L497" s="8"/>
      <c r="M497" s="8"/>
      <c r="N497" s="61"/>
    </row>
    <row r="498" spans="1:14" x14ac:dyDescent="0.25">
      <c r="A498" s="61"/>
      <c r="B498" s="1"/>
      <c r="C498" s="8"/>
      <c r="D498" s="8"/>
      <c r="E498" s="8"/>
      <c r="F498" s="8"/>
      <c r="G498" s="10"/>
      <c r="H498" s="10"/>
      <c r="I498" s="117"/>
      <c r="J498" s="52"/>
      <c r="K498" s="52"/>
      <c r="L498" s="8"/>
      <c r="M498" s="12"/>
      <c r="N498" s="129"/>
    </row>
    <row r="499" spans="1:14" x14ac:dyDescent="0.25">
      <c r="A499" s="10"/>
      <c r="B499" s="10"/>
      <c r="C499" s="8"/>
      <c r="D499" s="8"/>
      <c r="E499" s="8"/>
      <c r="F499" s="8"/>
      <c r="G499" s="52"/>
      <c r="H499" s="10"/>
      <c r="I499" s="117"/>
      <c r="J499" s="10"/>
      <c r="K499" s="52"/>
      <c r="L499" s="8"/>
      <c r="M499" s="107"/>
      <c r="N499" s="129"/>
    </row>
    <row r="500" spans="1:14" x14ac:dyDescent="0.25">
      <c r="A500" s="10"/>
      <c r="B500" s="10"/>
      <c r="C500" s="8"/>
      <c r="D500" s="77"/>
      <c r="E500" s="77"/>
      <c r="F500" s="77"/>
      <c r="G500" s="12"/>
      <c r="H500" s="12"/>
      <c r="I500" s="12"/>
      <c r="J500" s="52"/>
      <c r="K500" s="52"/>
      <c r="L500" s="77"/>
      <c r="M500" s="12"/>
      <c r="N500" s="129"/>
    </row>
    <row r="501" spans="1:14" x14ac:dyDescent="0.25">
      <c r="A501" s="10"/>
      <c r="B501" s="10"/>
      <c r="C501" s="8"/>
      <c r="D501" s="77"/>
      <c r="E501" s="61"/>
      <c r="F501" s="8"/>
      <c r="G501" s="12"/>
      <c r="H501" s="1"/>
      <c r="I501" s="1"/>
      <c r="J501" s="9"/>
      <c r="K501" s="52"/>
      <c r="L501" s="77"/>
      <c r="M501" s="8"/>
      <c r="N501" s="129"/>
    </row>
    <row r="502" spans="1:14" x14ac:dyDescent="0.25">
      <c r="A502" s="10"/>
      <c r="B502" s="10"/>
      <c r="C502" s="8"/>
      <c r="D502" s="77"/>
      <c r="E502" s="61"/>
      <c r="F502" s="8"/>
      <c r="G502" s="12"/>
      <c r="H502" s="1"/>
      <c r="I502" s="1"/>
      <c r="J502" s="9"/>
      <c r="K502" s="52"/>
      <c r="L502" s="77"/>
      <c r="M502" s="8"/>
      <c r="N502" s="131"/>
    </row>
    <row r="503" spans="1:14" x14ac:dyDescent="0.25">
      <c r="A503" s="10"/>
      <c r="B503" s="10"/>
      <c r="C503" s="8"/>
      <c r="D503" s="77"/>
      <c r="E503" s="61"/>
      <c r="F503" s="8"/>
      <c r="G503" s="12"/>
      <c r="H503" s="1"/>
      <c r="I503" s="1"/>
      <c r="J503" s="9"/>
      <c r="K503" s="52"/>
      <c r="L503" s="77"/>
      <c r="M503" s="8"/>
      <c r="N503" s="61"/>
    </row>
    <row r="504" spans="1:14" x14ac:dyDescent="0.25">
      <c r="A504" s="10"/>
      <c r="B504" s="10"/>
      <c r="C504" s="8"/>
      <c r="D504" s="77"/>
      <c r="E504" s="61"/>
      <c r="F504" s="8"/>
      <c r="G504" s="12"/>
      <c r="H504" s="1"/>
      <c r="I504" s="1"/>
      <c r="J504" s="9"/>
      <c r="K504" s="52"/>
      <c r="L504" s="77"/>
      <c r="M504" s="8"/>
      <c r="N504" s="129"/>
    </row>
    <row r="505" spans="1:14" x14ac:dyDescent="0.25">
      <c r="A505" s="10"/>
      <c r="B505" s="10"/>
      <c r="C505" s="8"/>
      <c r="D505" s="77"/>
      <c r="E505" s="61"/>
      <c r="F505" s="8"/>
      <c r="G505" s="12"/>
      <c r="H505" s="1"/>
      <c r="I505" s="1"/>
      <c r="J505" s="9"/>
      <c r="K505" s="52"/>
      <c r="L505" s="77"/>
      <c r="M505" s="8"/>
      <c r="N505" s="77"/>
    </row>
    <row r="506" spans="1:14" x14ac:dyDescent="0.25">
      <c r="A506" s="10"/>
      <c r="B506" s="10"/>
      <c r="C506" s="8"/>
      <c r="D506" s="77"/>
      <c r="E506" s="77"/>
      <c r="F506" s="77"/>
      <c r="G506" s="13"/>
      <c r="H506" s="12"/>
      <c r="I506" s="12"/>
      <c r="J506" s="13"/>
      <c r="K506" s="52"/>
      <c r="L506" s="77"/>
      <c r="M506" s="8"/>
      <c r="N506" s="77"/>
    </row>
    <row r="507" spans="1:14" x14ac:dyDescent="0.25">
      <c r="A507" s="10"/>
      <c r="B507" s="10"/>
      <c r="C507" s="8"/>
      <c r="D507" s="77"/>
      <c r="E507" s="61"/>
      <c r="F507" s="61"/>
      <c r="G507" s="9"/>
      <c r="H507" s="1"/>
      <c r="I507" s="1"/>
      <c r="J507" s="9"/>
      <c r="K507" s="52"/>
      <c r="L507" s="77"/>
      <c r="M507" s="8"/>
      <c r="N507" s="8"/>
    </row>
    <row r="508" spans="1:14" x14ac:dyDescent="0.25">
      <c r="A508" s="10"/>
      <c r="B508" s="10"/>
      <c r="C508" s="8"/>
      <c r="D508" s="77"/>
      <c r="E508" s="112"/>
      <c r="F508" s="8"/>
      <c r="G508" s="9"/>
      <c r="H508" s="1"/>
      <c r="I508" s="1"/>
      <c r="J508" s="9"/>
      <c r="K508" s="52"/>
      <c r="L508" s="77"/>
      <c r="M508" s="8"/>
      <c r="N508" s="10"/>
    </row>
    <row r="509" spans="1:14" x14ac:dyDescent="0.25">
      <c r="A509" s="10"/>
      <c r="B509" s="10"/>
      <c r="C509" s="8"/>
      <c r="D509" s="77"/>
      <c r="E509" s="61"/>
      <c r="F509" s="77"/>
      <c r="G509" s="13"/>
      <c r="H509" s="12"/>
      <c r="I509" s="12"/>
      <c r="J509" s="9"/>
      <c r="K509" s="52"/>
      <c r="L509" s="77"/>
      <c r="M509" s="8"/>
      <c r="N509" s="121"/>
    </row>
    <row r="510" spans="1:14" x14ac:dyDescent="0.25">
      <c r="A510" s="10"/>
      <c r="B510" s="10"/>
      <c r="C510" s="8"/>
      <c r="D510" s="77"/>
      <c r="E510" s="61"/>
      <c r="F510" s="77"/>
      <c r="G510" s="13"/>
      <c r="H510" s="12"/>
      <c r="I510" s="12"/>
      <c r="J510" s="9"/>
      <c r="K510" s="52"/>
      <c r="L510" s="77"/>
      <c r="M510" s="8"/>
      <c r="N510" s="10"/>
    </row>
    <row r="511" spans="1:14" x14ac:dyDescent="0.25">
      <c r="A511" s="10"/>
      <c r="B511" s="10"/>
      <c r="C511" s="8"/>
      <c r="D511" s="77"/>
      <c r="E511" s="61"/>
      <c r="F511" s="77"/>
      <c r="G511" s="9"/>
      <c r="H511" s="1"/>
      <c r="I511" s="1"/>
      <c r="J511" s="9"/>
      <c r="K511" s="52"/>
      <c r="L511" s="77"/>
      <c r="M511" s="8"/>
      <c r="N511" s="61"/>
    </row>
    <row r="512" spans="1:14" x14ac:dyDescent="0.25">
      <c r="A512" s="10"/>
      <c r="B512" s="10"/>
      <c r="C512" s="8"/>
      <c r="D512" s="77"/>
      <c r="E512" s="61"/>
      <c r="F512" s="77"/>
      <c r="G512" s="9"/>
      <c r="H512" s="1"/>
      <c r="I512" s="1"/>
      <c r="J512" s="9"/>
      <c r="K512" s="52"/>
      <c r="L512" s="77"/>
      <c r="M512" s="113"/>
      <c r="N512" s="77"/>
    </row>
    <row r="513" spans="1:14" x14ac:dyDescent="0.25">
      <c r="A513" s="10"/>
      <c r="B513" s="10"/>
      <c r="C513" s="8"/>
      <c r="D513" s="77"/>
      <c r="E513" s="61"/>
      <c r="F513" s="77"/>
      <c r="G513" s="9"/>
      <c r="H513" s="1"/>
      <c r="I513" s="1"/>
      <c r="J513" s="9"/>
      <c r="K513" s="52"/>
      <c r="L513" s="77"/>
      <c r="M513" s="8"/>
      <c r="N513" s="77"/>
    </row>
    <row r="514" spans="1:14" x14ac:dyDescent="0.25">
      <c r="A514" s="10"/>
      <c r="B514" s="10"/>
      <c r="C514" s="8"/>
      <c r="D514" s="77"/>
      <c r="E514" s="61"/>
      <c r="F514" s="77"/>
      <c r="G514" s="9"/>
      <c r="H514" s="1"/>
      <c r="I514" s="1"/>
      <c r="J514" s="9"/>
      <c r="K514" s="52"/>
      <c r="L514" s="77"/>
      <c r="M514" s="8"/>
      <c r="N514" s="77"/>
    </row>
    <row r="515" spans="1:14" x14ac:dyDescent="0.25">
      <c r="A515" s="10"/>
      <c r="B515" s="10"/>
      <c r="C515" s="8"/>
      <c r="D515" s="77"/>
      <c r="E515" s="61"/>
      <c r="F515" s="61"/>
      <c r="G515" s="9"/>
      <c r="H515" s="1"/>
      <c r="I515" s="1"/>
      <c r="J515" s="9"/>
      <c r="K515" s="52"/>
      <c r="L515" s="77"/>
      <c r="M515" s="12"/>
      <c r="N515" s="129"/>
    </row>
    <row r="516" spans="1:14" x14ac:dyDescent="0.25">
      <c r="A516" s="10"/>
      <c r="B516" s="10"/>
      <c r="C516" s="8"/>
      <c r="D516" s="77"/>
      <c r="E516" s="77"/>
      <c r="F516" s="77"/>
      <c r="G516" s="13"/>
      <c r="H516" s="12"/>
      <c r="I516" s="12"/>
      <c r="J516" s="13"/>
      <c r="K516" s="52"/>
      <c r="L516" s="77"/>
      <c r="M516" s="12"/>
      <c r="N516" s="77"/>
    </row>
    <row r="517" spans="1:14" x14ac:dyDescent="0.25">
      <c r="A517" s="10"/>
      <c r="B517" s="10"/>
      <c r="C517" s="8"/>
      <c r="D517" s="77"/>
      <c r="E517" s="77"/>
      <c r="F517" s="77"/>
      <c r="G517" s="13"/>
      <c r="H517" s="12"/>
      <c r="I517" s="12"/>
      <c r="J517" s="13"/>
      <c r="K517" s="52"/>
      <c r="L517" s="77"/>
      <c r="M517" s="8"/>
      <c r="N517" s="77"/>
    </row>
    <row r="518" spans="1:14" x14ac:dyDescent="0.25">
      <c r="A518" s="61"/>
      <c r="B518" s="1"/>
      <c r="C518" s="8"/>
      <c r="D518" s="77"/>
      <c r="E518" s="8"/>
      <c r="F518" s="8"/>
      <c r="G518" s="10"/>
      <c r="H518" s="10"/>
      <c r="I518" s="117"/>
      <c r="J518" s="52"/>
      <c r="K518" s="52"/>
      <c r="L518" s="8"/>
      <c r="M518" s="12"/>
      <c r="N518" s="77"/>
    </row>
    <row r="519" spans="1:14" x14ac:dyDescent="0.25">
      <c r="A519" s="10"/>
      <c r="B519" s="10"/>
      <c r="C519" s="8"/>
      <c r="D519" s="8"/>
      <c r="E519" s="8"/>
      <c r="F519" s="8"/>
      <c r="G519" s="52"/>
      <c r="H519" s="10"/>
      <c r="I519" s="117"/>
      <c r="J519" s="10"/>
      <c r="K519" s="52"/>
      <c r="L519" s="8"/>
      <c r="M519" s="107"/>
      <c r="N519" s="77"/>
    </row>
    <row r="520" spans="1:14" x14ac:dyDescent="0.25">
      <c r="A520" s="10"/>
      <c r="B520" s="10"/>
      <c r="C520" s="8"/>
      <c r="D520" s="77"/>
      <c r="E520" s="8"/>
      <c r="F520" s="10"/>
      <c r="G520" s="10"/>
      <c r="H520" s="10"/>
      <c r="I520" s="10"/>
      <c r="J520" s="52"/>
      <c r="K520" s="52"/>
      <c r="L520" s="8"/>
      <c r="M520" s="8"/>
      <c r="N520" s="77"/>
    </row>
    <row r="521" spans="1:14" x14ac:dyDescent="0.25">
      <c r="A521" s="10"/>
      <c r="B521" s="10"/>
      <c r="C521" s="8"/>
      <c r="D521" s="77"/>
      <c r="E521" s="8"/>
      <c r="F521" s="8"/>
      <c r="G521" s="52"/>
      <c r="H521" s="10"/>
      <c r="I521" s="10"/>
      <c r="J521" s="52"/>
      <c r="K521" s="52"/>
      <c r="L521" s="8"/>
      <c r="M521" s="107"/>
      <c r="N521" s="129"/>
    </row>
    <row r="522" spans="1:14" x14ac:dyDescent="0.25">
      <c r="A522" s="77"/>
      <c r="B522" s="12"/>
      <c r="C522" s="8"/>
      <c r="D522" s="77"/>
      <c r="E522" s="8"/>
      <c r="F522" s="8"/>
      <c r="G522" s="52"/>
      <c r="H522" s="10"/>
      <c r="I522" s="117"/>
      <c r="J522" s="52"/>
      <c r="K522" s="52"/>
      <c r="L522" s="8"/>
      <c r="M522" s="8"/>
      <c r="N522" s="129"/>
    </row>
    <row r="523" spans="1:14" x14ac:dyDescent="0.25">
      <c r="A523" s="10"/>
      <c r="B523" s="10"/>
      <c r="C523" s="8"/>
      <c r="D523" s="77"/>
      <c r="E523" s="8"/>
      <c r="F523" s="8"/>
      <c r="G523" s="52"/>
      <c r="H523" s="10"/>
      <c r="I523" s="10"/>
      <c r="J523" s="52"/>
      <c r="K523" s="52"/>
      <c r="L523" s="8"/>
      <c r="M523" s="8"/>
      <c r="N523" s="77"/>
    </row>
    <row r="524" spans="1:14" x14ac:dyDescent="0.25">
      <c r="A524" s="10"/>
      <c r="B524" s="10"/>
      <c r="C524" s="8"/>
      <c r="D524" s="77"/>
      <c r="E524" s="8"/>
      <c r="F524" s="77"/>
      <c r="G524" s="13"/>
      <c r="H524" s="12"/>
      <c r="I524" s="12"/>
      <c r="J524" s="52"/>
      <c r="K524" s="52"/>
      <c r="L524" s="8"/>
      <c r="M524" s="12"/>
      <c r="N524" s="129"/>
    </row>
    <row r="525" spans="1:14" x14ac:dyDescent="0.25">
      <c r="A525" s="10"/>
      <c r="B525" s="10"/>
      <c r="C525" s="8"/>
      <c r="D525" s="77"/>
      <c r="E525" s="8"/>
      <c r="F525" s="8"/>
      <c r="G525" s="13"/>
      <c r="H525" s="1"/>
      <c r="I525" s="1"/>
      <c r="J525" s="13"/>
      <c r="K525" s="52"/>
      <c r="L525" s="8"/>
      <c r="M525" s="8"/>
      <c r="N525" s="131"/>
    </row>
    <row r="526" spans="1:14" x14ac:dyDescent="0.25">
      <c r="A526" s="10"/>
      <c r="B526" s="10"/>
      <c r="C526" s="8"/>
      <c r="D526" s="77"/>
      <c r="E526" s="8"/>
      <c r="F526" s="8"/>
      <c r="G526" s="52"/>
      <c r="H526" s="10"/>
      <c r="I526" s="10"/>
      <c r="J526" s="52"/>
      <c r="K526" s="52"/>
      <c r="L526" s="8"/>
      <c r="M526" s="8"/>
      <c r="N526" s="77"/>
    </row>
    <row r="527" spans="1:14" x14ac:dyDescent="0.25">
      <c r="A527" s="10"/>
      <c r="B527" s="10"/>
      <c r="C527" s="8"/>
      <c r="D527" s="77"/>
      <c r="E527" s="8"/>
      <c r="F527" s="8"/>
      <c r="G527" s="13"/>
      <c r="H527" s="12"/>
      <c r="I527" s="12"/>
      <c r="J527" s="13"/>
      <c r="K527" s="52"/>
      <c r="L527" s="8"/>
      <c r="M527" s="8"/>
      <c r="N527" s="131"/>
    </row>
    <row r="528" spans="1:14" x14ac:dyDescent="0.25">
      <c r="A528" s="10"/>
      <c r="B528" s="10"/>
      <c r="C528" s="8"/>
      <c r="D528" s="77"/>
      <c r="E528" s="8"/>
      <c r="F528" s="8"/>
      <c r="G528" s="13"/>
      <c r="H528" s="12"/>
      <c r="I528" s="12"/>
      <c r="J528" s="13"/>
      <c r="K528" s="52"/>
      <c r="L528" s="8"/>
      <c r="M528" s="8"/>
      <c r="N528" s="129"/>
    </row>
    <row r="529" spans="1:14" x14ac:dyDescent="0.25">
      <c r="A529" s="10"/>
      <c r="B529" s="10"/>
      <c r="C529" s="8"/>
      <c r="D529" s="77"/>
      <c r="E529" s="77"/>
      <c r="F529" s="77"/>
      <c r="G529" s="13"/>
      <c r="H529" s="12"/>
      <c r="I529" s="12"/>
      <c r="J529" s="13"/>
      <c r="K529" s="52"/>
      <c r="L529" s="77"/>
      <c r="M529" s="8"/>
      <c r="N529" s="129"/>
    </row>
    <row r="530" spans="1:14" x14ac:dyDescent="0.25">
      <c r="A530" s="10"/>
      <c r="B530" s="10"/>
      <c r="C530" s="8"/>
      <c r="D530" s="77"/>
      <c r="E530" s="8"/>
      <c r="F530" s="8"/>
      <c r="G530" s="52"/>
      <c r="H530" s="10"/>
      <c r="I530" s="10"/>
      <c r="J530" s="13"/>
      <c r="K530" s="52"/>
      <c r="L530" s="8"/>
      <c r="M530" s="8"/>
      <c r="N530" s="77"/>
    </row>
    <row r="531" spans="1:14" x14ac:dyDescent="0.25">
      <c r="A531" s="10"/>
      <c r="B531" s="10"/>
      <c r="C531" s="8"/>
      <c r="D531" s="77"/>
      <c r="E531" s="8"/>
      <c r="F531" s="77"/>
      <c r="G531" s="13"/>
      <c r="H531" s="12"/>
      <c r="I531" s="12"/>
      <c r="J531" s="13"/>
      <c r="K531" s="52"/>
      <c r="L531" s="8"/>
      <c r="M531" s="12"/>
      <c r="N531" s="61"/>
    </row>
    <row r="532" spans="1:14" x14ac:dyDescent="0.25">
      <c r="A532" s="10"/>
      <c r="B532" s="10"/>
      <c r="C532" s="8"/>
      <c r="D532" s="77"/>
      <c r="E532" s="8"/>
      <c r="F532" s="61"/>
      <c r="G532" s="9"/>
      <c r="H532" s="1"/>
      <c r="I532" s="12"/>
      <c r="J532" s="13"/>
      <c r="K532" s="52"/>
      <c r="L532" s="8"/>
      <c r="M532" s="12"/>
      <c r="N532" s="77"/>
    </row>
    <row r="533" spans="1:14" x14ac:dyDescent="0.25">
      <c r="A533" s="10"/>
      <c r="B533" s="10"/>
      <c r="C533" s="8"/>
      <c r="D533" s="8"/>
      <c r="E533" s="8"/>
      <c r="F533" s="8"/>
      <c r="G533" s="52"/>
      <c r="H533" s="10"/>
      <c r="I533" s="117"/>
      <c r="J533" s="13"/>
      <c r="K533" s="52"/>
      <c r="L533" s="8"/>
      <c r="M533" s="12"/>
      <c r="N533" s="8"/>
    </row>
    <row r="534" spans="1:14" x14ac:dyDescent="0.25">
      <c r="A534" s="10"/>
      <c r="B534" s="10"/>
      <c r="C534" s="8"/>
      <c r="D534" s="8"/>
      <c r="E534" s="8"/>
      <c r="F534" s="8"/>
      <c r="G534" s="52"/>
      <c r="H534" s="10"/>
      <c r="I534" s="117"/>
      <c r="J534" s="13"/>
      <c r="K534" s="52"/>
      <c r="L534" s="8"/>
      <c r="M534" s="8"/>
      <c r="N534" s="130"/>
    </row>
    <row r="535" spans="1:14" x14ac:dyDescent="0.25">
      <c r="A535" s="10"/>
      <c r="B535" s="10"/>
      <c r="C535" s="8"/>
      <c r="D535" s="8"/>
      <c r="E535" s="8"/>
      <c r="F535" s="8"/>
      <c r="G535" s="52"/>
      <c r="H535" s="10"/>
      <c r="I535" s="117"/>
      <c r="J535" s="13"/>
      <c r="K535" s="52"/>
      <c r="L535" s="8"/>
      <c r="M535" s="8"/>
      <c r="N535" s="121"/>
    </row>
    <row r="536" spans="1:14" x14ac:dyDescent="0.25">
      <c r="A536" s="10"/>
      <c r="B536" s="10"/>
      <c r="C536" s="8"/>
      <c r="D536" s="61"/>
      <c r="E536" s="61"/>
      <c r="F536" s="8"/>
      <c r="G536" s="52"/>
      <c r="H536" s="10"/>
      <c r="I536" s="117"/>
      <c r="J536" s="13"/>
      <c r="K536" s="52"/>
      <c r="L536" s="8"/>
      <c r="M536" s="8"/>
      <c r="N536" s="10"/>
    </row>
    <row r="537" spans="1:14" x14ac:dyDescent="0.25">
      <c r="A537" s="77"/>
      <c r="B537" s="12"/>
      <c r="C537" s="8"/>
      <c r="D537" s="77"/>
      <c r="E537" s="77"/>
      <c r="F537" s="92"/>
      <c r="G537" s="13"/>
      <c r="H537" s="12"/>
      <c r="I537" s="132"/>
      <c r="J537" s="13"/>
      <c r="K537" s="52"/>
      <c r="L537" s="8"/>
      <c r="M537" s="10"/>
      <c r="N537" s="10"/>
    </row>
    <row r="538" spans="1:14" x14ac:dyDescent="0.25">
      <c r="K538" s="133"/>
      <c r="N538" s="130"/>
    </row>
    <row r="539" spans="1:14" x14ac:dyDescent="0.25">
      <c r="N539" s="10"/>
    </row>
    <row r="540" spans="1:14" x14ac:dyDescent="0.25">
      <c r="N540" s="10"/>
    </row>
    <row r="541" spans="1:14" x14ac:dyDescent="0.25">
      <c r="N541" s="130"/>
    </row>
    <row r="542" spans="1:14" x14ac:dyDescent="0.25">
      <c r="N542" s="77"/>
    </row>
    <row r="543" spans="1:14" x14ac:dyDescent="0.25">
      <c r="N543" s="130"/>
    </row>
    <row r="544" spans="1:14" x14ac:dyDescent="0.25">
      <c r="N544" s="130"/>
    </row>
    <row r="545" spans="14:14" x14ac:dyDescent="0.25">
      <c r="N545" s="10"/>
    </row>
    <row r="546" spans="14:14" x14ac:dyDescent="0.25">
      <c r="N546" s="61"/>
    </row>
    <row r="547" spans="14:14" x14ac:dyDescent="0.25">
      <c r="N547" s="61"/>
    </row>
    <row r="548" spans="14:14" x14ac:dyDescent="0.25">
      <c r="N548" s="61"/>
    </row>
    <row r="549" spans="14:14" x14ac:dyDescent="0.25">
      <c r="N549" s="61"/>
    </row>
    <row r="550" spans="14:14" x14ac:dyDescent="0.25">
      <c r="N550" s="77"/>
    </row>
  </sheetData>
  <conditionalFormatting sqref="O229:V229">
    <cfRule type="cellIs" priority="2" operator="equal">
      <formula>0</formula>
    </cfRule>
  </conditionalFormatting>
  <conditionalFormatting sqref="O331:V332">
    <cfRule type="cellIs" dxfId="0" priority="1" operator="equal">
      <formula>0</formula>
    </cfRule>
  </conditionalFormatting>
  <printOptions gridLines="1"/>
  <pageMargins left="0.7" right="0.7" top="0.75" bottom="0.75" header="0.3" footer="0.3"/>
  <pageSetup paperSize="9" scale="10" orientation="landscape" r:id="rId1"/>
  <rowBreaks count="1" manualBreakCount="1">
    <brk id="20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N14"/>
  <sheetViews>
    <sheetView view="pageBreakPreview" zoomScale="115" zoomScaleNormal="115" zoomScaleSheetLayoutView="115" workbookViewId="0"/>
  </sheetViews>
  <sheetFormatPr defaultColWidth="8.85546875" defaultRowHeight="15" x14ac:dyDescent="0.25"/>
  <cols>
    <col min="1" max="1" width="5.42578125" customWidth="1"/>
    <col min="2" max="2" width="6.7109375" customWidth="1"/>
    <col min="3" max="3" width="5.85546875" customWidth="1"/>
    <col min="5" max="5" width="17.140625" customWidth="1"/>
    <col min="6" max="6" width="14.85546875" customWidth="1"/>
    <col min="7" max="7" width="6.42578125" style="38" customWidth="1"/>
    <col min="8" max="8" width="6.42578125" style="115" customWidth="1"/>
    <col min="9" max="9" width="7" style="115" customWidth="1"/>
    <col min="10" max="10" width="7.42578125" style="115" customWidth="1"/>
    <col min="11" max="11" width="7.28515625" style="115" customWidth="1"/>
    <col min="12" max="12" width="26.85546875" customWidth="1"/>
    <col min="13" max="13" width="27.85546875" customWidth="1"/>
    <col min="14" max="14" width="26" customWidth="1"/>
  </cols>
  <sheetData>
    <row r="1" spans="1:14" ht="12.75" customHeight="1" x14ac:dyDescent="0.25">
      <c r="A1" s="28" t="s">
        <v>1187</v>
      </c>
      <c r="B1" s="134"/>
      <c r="C1" s="135"/>
    </row>
    <row r="2" spans="1:14" ht="12.75" customHeight="1" x14ac:dyDescent="0.25">
      <c r="A2" s="87" t="s">
        <v>35</v>
      </c>
      <c r="B2" s="134"/>
      <c r="C2" s="135"/>
    </row>
    <row r="3" spans="1:14" ht="13.5" customHeight="1" x14ac:dyDescent="0.25">
      <c r="A3" s="136" t="s">
        <v>794</v>
      </c>
      <c r="B3" s="87"/>
      <c r="C3" s="55"/>
    </row>
    <row r="4" spans="1:14" ht="45" x14ac:dyDescent="0.25">
      <c r="A4" s="5" t="s">
        <v>0</v>
      </c>
      <c r="B4" s="5" t="s">
        <v>1</v>
      </c>
      <c r="C4" s="5" t="s">
        <v>2</v>
      </c>
      <c r="D4" s="6" t="s">
        <v>3</v>
      </c>
      <c r="E4" s="6" t="s">
        <v>4</v>
      </c>
      <c r="F4" s="6" t="s">
        <v>6</v>
      </c>
      <c r="G4" s="7" t="s">
        <v>7</v>
      </c>
      <c r="H4" s="7" t="s">
        <v>8</v>
      </c>
      <c r="I4" s="6" t="s">
        <v>9</v>
      </c>
      <c r="J4" s="6" t="s">
        <v>10</v>
      </c>
      <c r="K4" s="7" t="s">
        <v>11</v>
      </c>
      <c r="L4" s="7" t="s">
        <v>12</v>
      </c>
      <c r="M4" s="6" t="s">
        <v>13</v>
      </c>
      <c r="N4" s="22"/>
    </row>
    <row r="5" spans="1:14" ht="61.5" customHeight="1" x14ac:dyDescent="0.25">
      <c r="A5" s="76" t="s">
        <v>36</v>
      </c>
      <c r="B5" s="8">
        <v>8.1</v>
      </c>
      <c r="C5" s="76" t="s">
        <v>66</v>
      </c>
      <c r="D5" s="61" t="s">
        <v>37</v>
      </c>
      <c r="E5" s="61" t="s">
        <v>38</v>
      </c>
      <c r="F5" s="61"/>
      <c r="G5" s="95">
        <v>10</v>
      </c>
      <c r="H5" s="95"/>
      <c r="I5" s="96">
        <v>1</v>
      </c>
      <c r="J5" s="98">
        <v>4.3499999999999996</v>
      </c>
      <c r="K5" s="42">
        <f t="shared" ref="K5:K10" si="0">G5*I5/J5</f>
        <v>2.298850574712644</v>
      </c>
      <c r="L5" s="94" t="s">
        <v>842</v>
      </c>
      <c r="M5" s="61"/>
    </row>
    <row r="6" spans="1:14" ht="35.25" customHeight="1" x14ac:dyDescent="0.25">
      <c r="A6" s="80" t="s">
        <v>39</v>
      </c>
      <c r="B6" s="10">
        <v>8.1999999999999993</v>
      </c>
      <c r="C6" s="76" t="s">
        <v>66</v>
      </c>
      <c r="D6" s="80" t="s">
        <v>40</v>
      </c>
      <c r="E6" s="61" t="s">
        <v>490</v>
      </c>
      <c r="F6" s="61" t="s">
        <v>73</v>
      </c>
      <c r="G6" s="95">
        <v>30</v>
      </c>
      <c r="H6" s="96">
        <v>1</v>
      </c>
      <c r="I6" s="96">
        <v>1</v>
      </c>
      <c r="J6" s="98">
        <f>365/7*10</f>
        <v>521.42857142857144</v>
      </c>
      <c r="K6" s="42">
        <f t="shared" si="0"/>
        <v>5.7534246575342465E-2</v>
      </c>
      <c r="L6" s="1" t="s">
        <v>880</v>
      </c>
      <c r="M6" s="90" t="s">
        <v>881</v>
      </c>
    </row>
    <row r="7" spans="1:14" ht="48" customHeight="1" x14ac:dyDescent="0.25">
      <c r="A7" s="80" t="s">
        <v>39</v>
      </c>
      <c r="B7" s="10">
        <v>8.1999999999999993</v>
      </c>
      <c r="C7" s="76" t="s">
        <v>66</v>
      </c>
      <c r="D7" s="80" t="s">
        <v>40</v>
      </c>
      <c r="E7" s="76" t="s">
        <v>41</v>
      </c>
      <c r="F7" s="94" t="s">
        <v>42</v>
      </c>
      <c r="G7" s="95">
        <v>0</v>
      </c>
      <c r="H7" s="104">
        <v>1</v>
      </c>
      <c r="I7" s="96">
        <v>1</v>
      </c>
      <c r="J7" s="98">
        <f>365/84</f>
        <v>4.3452380952380949</v>
      </c>
      <c r="K7" s="95">
        <f t="shared" si="0"/>
        <v>0</v>
      </c>
      <c r="L7" s="80" t="s">
        <v>491</v>
      </c>
      <c r="M7" s="61" t="s">
        <v>845</v>
      </c>
      <c r="N7" s="61"/>
    </row>
    <row r="8" spans="1:14" ht="81" customHeight="1" x14ac:dyDescent="0.25">
      <c r="A8" s="80" t="s">
        <v>39</v>
      </c>
      <c r="B8" s="1">
        <v>8.1999999999999993</v>
      </c>
      <c r="C8" s="76" t="s">
        <v>66</v>
      </c>
      <c r="D8" s="76" t="s">
        <v>40</v>
      </c>
      <c r="E8" s="76" t="s">
        <v>43</v>
      </c>
      <c r="F8" s="94" t="s">
        <v>42</v>
      </c>
      <c r="G8" s="95">
        <v>13</v>
      </c>
      <c r="H8" s="104">
        <v>1</v>
      </c>
      <c r="I8" s="96">
        <v>1</v>
      </c>
      <c r="J8" s="98">
        <v>4.3452380952380949</v>
      </c>
      <c r="K8" s="42">
        <f t="shared" si="0"/>
        <v>2.9917808219178084</v>
      </c>
      <c r="L8" s="61" t="s">
        <v>843</v>
      </c>
      <c r="M8" s="61" t="s">
        <v>844</v>
      </c>
      <c r="N8" s="61"/>
    </row>
    <row r="9" spans="1:14" ht="72" customHeight="1" x14ac:dyDescent="0.25">
      <c r="A9" s="10" t="s">
        <v>39</v>
      </c>
      <c r="B9" s="1">
        <v>8.3000000000000007</v>
      </c>
      <c r="C9" s="8" t="s">
        <v>66</v>
      </c>
      <c r="D9" s="8" t="s">
        <v>40</v>
      </c>
      <c r="E9" s="1" t="s">
        <v>44</v>
      </c>
      <c r="F9" s="9" t="s">
        <v>877</v>
      </c>
      <c r="G9" s="95">
        <v>28</v>
      </c>
      <c r="H9" s="104">
        <v>1</v>
      </c>
      <c r="I9" s="96">
        <v>1</v>
      </c>
      <c r="J9" s="98">
        <f>365/84</f>
        <v>4.3452380952380949</v>
      </c>
      <c r="K9" s="42">
        <f t="shared" si="0"/>
        <v>6.4438356164383563</v>
      </c>
      <c r="L9" s="61" t="s">
        <v>878</v>
      </c>
      <c r="M9" s="77" t="s">
        <v>879</v>
      </c>
      <c r="N9" s="1"/>
    </row>
    <row r="10" spans="1:14" ht="22.5" x14ac:dyDescent="0.25">
      <c r="A10" s="10" t="s">
        <v>39</v>
      </c>
      <c r="B10" s="12">
        <v>12.7</v>
      </c>
      <c r="C10" s="76" t="s">
        <v>66</v>
      </c>
      <c r="D10" s="76" t="s">
        <v>965</v>
      </c>
      <c r="E10" s="76" t="s">
        <v>965</v>
      </c>
      <c r="F10" s="80"/>
      <c r="G10" s="137">
        <v>4150</v>
      </c>
      <c r="H10"/>
      <c r="I10" s="80">
        <v>1</v>
      </c>
      <c r="J10" s="98">
        <f>365/7*25</f>
        <v>1303.5714285714287</v>
      </c>
      <c r="K10" s="42">
        <f t="shared" si="0"/>
        <v>3.183561643835616</v>
      </c>
      <c r="L10" s="42"/>
      <c r="M10" s="80" t="s">
        <v>966</v>
      </c>
    </row>
    <row r="12" spans="1:14" x14ac:dyDescent="0.25">
      <c r="E12" s="32" t="s">
        <v>820</v>
      </c>
      <c r="F12" s="31">
        <f>K5</f>
        <v>2.298850574712644</v>
      </c>
    </row>
    <row r="13" spans="1:14" x14ac:dyDescent="0.25">
      <c r="E13" s="32" t="s">
        <v>821</v>
      </c>
      <c r="F13" s="31">
        <f>SUM(K6:K9)</f>
        <v>9.493150684931507</v>
      </c>
    </row>
    <row r="14" spans="1:14" ht="23.25" x14ac:dyDescent="0.25">
      <c r="E14" s="33" t="s">
        <v>823</v>
      </c>
      <c r="F14" s="31">
        <f>K10</f>
        <v>3.183561643835616</v>
      </c>
    </row>
  </sheetData>
  <printOptions gridLines="1"/>
  <pageMargins left="0.7" right="0.7" top="0.75" bottom="0.75" header="0.3" footer="0.3"/>
  <pageSetup paperSize="9" scale="8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N42"/>
  <sheetViews>
    <sheetView view="pageBreakPreview" zoomScaleNormal="115" zoomScaleSheetLayoutView="130" workbookViewId="0"/>
  </sheetViews>
  <sheetFormatPr defaultColWidth="8.85546875" defaultRowHeight="15" x14ac:dyDescent="0.25"/>
  <cols>
    <col min="1" max="1" width="5.42578125" customWidth="1"/>
    <col min="2" max="2" width="6.85546875" customWidth="1"/>
    <col min="3" max="3" width="6.140625" customWidth="1"/>
    <col min="4" max="4" width="16.28515625" customWidth="1"/>
    <col min="5" max="5" width="14" customWidth="1"/>
    <col min="7" max="7" width="6.28515625" style="115" customWidth="1"/>
    <col min="8" max="8" width="5.140625" style="115" customWidth="1"/>
    <col min="9" max="9" width="7.42578125" style="115" customWidth="1"/>
    <col min="10" max="10" width="7.85546875" style="115" customWidth="1"/>
    <col min="11" max="11" width="6.28515625" style="115" customWidth="1"/>
    <col min="12" max="12" width="33.7109375" customWidth="1"/>
    <col min="13" max="13" width="33.85546875" customWidth="1"/>
    <col min="14" max="14" width="17" customWidth="1"/>
  </cols>
  <sheetData>
    <row r="1" spans="1:14" x14ac:dyDescent="0.25">
      <c r="A1" s="28" t="s">
        <v>1187</v>
      </c>
      <c r="B1" s="14"/>
      <c r="C1" s="80"/>
      <c r="D1" s="80"/>
      <c r="E1" s="80"/>
      <c r="F1" s="80"/>
      <c r="G1" s="10"/>
      <c r="H1" s="10"/>
      <c r="I1" s="10"/>
      <c r="J1" s="10"/>
      <c r="K1" s="10"/>
      <c r="L1" s="76"/>
      <c r="M1" s="80"/>
      <c r="N1" s="80"/>
    </row>
    <row r="2" spans="1:14" x14ac:dyDescent="0.25">
      <c r="A2" s="134" t="s">
        <v>349</v>
      </c>
      <c r="B2" s="14"/>
      <c r="C2" s="134"/>
      <c r="D2" s="2"/>
      <c r="E2" s="2"/>
      <c r="F2" s="2"/>
      <c r="G2" s="3"/>
      <c r="H2" s="138"/>
      <c r="I2" s="3"/>
      <c r="J2" s="3"/>
      <c r="K2" s="3"/>
      <c r="L2" s="2"/>
      <c r="M2" s="2"/>
      <c r="N2" s="2"/>
    </row>
    <row r="3" spans="1:14" x14ac:dyDescent="0.25">
      <c r="A3" s="87" t="s">
        <v>794</v>
      </c>
      <c r="B3" s="11"/>
      <c r="C3" s="61"/>
      <c r="D3" s="61"/>
      <c r="E3" s="61"/>
      <c r="F3" s="61"/>
      <c r="G3" s="1"/>
      <c r="H3" s="1"/>
      <c r="I3" s="1"/>
      <c r="J3" s="1"/>
      <c r="K3" s="1"/>
      <c r="L3" s="61"/>
      <c r="M3" s="61"/>
      <c r="N3" s="139"/>
    </row>
    <row r="4" spans="1:14" ht="33.75" x14ac:dyDescent="0.25">
      <c r="A4" s="5" t="s">
        <v>0</v>
      </c>
      <c r="B4" s="5" t="s">
        <v>1</v>
      </c>
      <c r="C4" s="5" t="s">
        <v>2</v>
      </c>
      <c r="D4" s="6" t="s">
        <v>3</v>
      </c>
      <c r="E4" s="6" t="s">
        <v>4</v>
      </c>
      <c r="F4" s="6" t="s">
        <v>6</v>
      </c>
      <c r="G4" s="7" t="s">
        <v>7</v>
      </c>
      <c r="H4" s="7" t="s">
        <v>8</v>
      </c>
      <c r="I4" s="6" t="s">
        <v>9</v>
      </c>
      <c r="J4" s="6" t="s">
        <v>10</v>
      </c>
      <c r="K4" s="7" t="s">
        <v>11</v>
      </c>
      <c r="L4" s="7" t="s">
        <v>12</v>
      </c>
      <c r="M4" s="55" t="s">
        <v>13</v>
      </c>
      <c r="N4" s="22"/>
    </row>
    <row r="5" spans="1:14" ht="22.5" x14ac:dyDescent="0.25">
      <c r="A5" s="80" t="s">
        <v>16</v>
      </c>
      <c r="B5" s="10">
        <v>12.1</v>
      </c>
      <c r="C5" s="80" t="s">
        <v>66</v>
      </c>
      <c r="D5" s="8" t="s">
        <v>374</v>
      </c>
      <c r="E5" s="8" t="s">
        <v>375</v>
      </c>
      <c r="F5" s="76"/>
      <c r="G5" s="42">
        <v>100</v>
      </c>
      <c r="H5" s="43">
        <v>1</v>
      </c>
      <c r="I5" s="43">
        <v>1</v>
      </c>
      <c r="J5" s="44">
        <v>6</v>
      </c>
      <c r="K5" s="42">
        <f t="shared" ref="K5:K40" si="0">G5*I5/J5</f>
        <v>16.666666666666668</v>
      </c>
      <c r="L5" s="76" t="s">
        <v>890</v>
      </c>
      <c r="M5" s="140"/>
      <c r="N5" s="141"/>
    </row>
    <row r="6" spans="1:14" x14ac:dyDescent="0.25">
      <c r="A6" s="80" t="s">
        <v>16</v>
      </c>
      <c r="B6" s="10">
        <v>12.1</v>
      </c>
      <c r="C6" s="80" t="s">
        <v>66</v>
      </c>
      <c r="D6" s="8" t="s">
        <v>374</v>
      </c>
      <c r="E6" s="8" t="s">
        <v>897</v>
      </c>
      <c r="F6" s="76"/>
      <c r="G6" s="42">
        <v>50</v>
      </c>
      <c r="H6" s="43"/>
      <c r="I6" s="43">
        <v>1</v>
      </c>
      <c r="J6" s="44">
        <v>6</v>
      </c>
      <c r="K6" s="42">
        <f t="shared" si="0"/>
        <v>8.3333333333333339</v>
      </c>
      <c r="L6" s="76" t="s">
        <v>898</v>
      </c>
      <c r="M6" s="140"/>
      <c r="N6" s="141"/>
    </row>
    <row r="7" spans="1:14" ht="25.5" customHeight="1" x14ac:dyDescent="0.25">
      <c r="A7" s="80" t="s">
        <v>16</v>
      </c>
      <c r="B7" s="10">
        <v>12.1</v>
      </c>
      <c r="C7" s="80" t="s">
        <v>66</v>
      </c>
      <c r="D7" s="3" t="s">
        <v>20</v>
      </c>
      <c r="E7" s="3" t="s">
        <v>350</v>
      </c>
      <c r="F7" s="76" t="s">
        <v>376</v>
      </c>
      <c r="G7" s="42">
        <v>16.475120370370369</v>
      </c>
      <c r="H7" s="43">
        <v>1</v>
      </c>
      <c r="I7" s="43">
        <v>1</v>
      </c>
      <c r="J7" s="44">
        <f>365/7*10</f>
        <v>521.42857142857144</v>
      </c>
      <c r="K7" s="42">
        <f t="shared" si="0"/>
        <v>3.1596121258244542E-2</v>
      </c>
      <c r="L7" s="76" t="s">
        <v>377</v>
      </c>
      <c r="M7" s="76" t="s">
        <v>378</v>
      </c>
      <c r="N7" s="76"/>
    </row>
    <row r="8" spans="1:14" ht="22.5" x14ac:dyDescent="0.25">
      <c r="A8" s="80" t="s">
        <v>16</v>
      </c>
      <c r="B8" s="10">
        <v>12.1</v>
      </c>
      <c r="C8" s="80" t="s">
        <v>66</v>
      </c>
      <c r="D8" s="8" t="s">
        <v>20</v>
      </c>
      <c r="E8" s="8" t="s">
        <v>373</v>
      </c>
      <c r="F8" s="80" t="s">
        <v>28</v>
      </c>
      <c r="G8" s="42">
        <v>1.0990740740740741</v>
      </c>
      <c r="H8" s="89">
        <v>1</v>
      </c>
      <c r="I8" s="89">
        <v>2</v>
      </c>
      <c r="J8" s="44">
        <f>365/84</f>
        <v>4.3452380952380949</v>
      </c>
      <c r="K8" s="42">
        <f t="shared" si="0"/>
        <v>0.50587519025875194</v>
      </c>
      <c r="L8" s="76" t="s">
        <v>379</v>
      </c>
      <c r="M8" s="76" t="s">
        <v>359</v>
      </c>
      <c r="N8" s="76"/>
    </row>
    <row r="9" spans="1:14" ht="22.5" x14ac:dyDescent="0.25">
      <c r="A9" s="80" t="s">
        <v>16</v>
      </c>
      <c r="B9" s="10">
        <v>12.1</v>
      </c>
      <c r="C9" s="80" t="s">
        <v>66</v>
      </c>
      <c r="D9" s="8" t="s">
        <v>20</v>
      </c>
      <c r="E9" s="8" t="s">
        <v>351</v>
      </c>
      <c r="F9" s="80" t="s">
        <v>28</v>
      </c>
      <c r="G9" s="42">
        <v>3.1323611111111114</v>
      </c>
      <c r="H9" s="89">
        <v>4</v>
      </c>
      <c r="I9" s="89">
        <v>1</v>
      </c>
      <c r="J9" s="44">
        <v>2</v>
      </c>
      <c r="K9" s="42">
        <f t="shared" si="0"/>
        <v>1.5661805555555557</v>
      </c>
      <c r="L9" s="76" t="s">
        <v>380</v>
      </c>
      <c r="M9" s="76" t="s">
        <v>352</v>
      </c>
      <c r="N9" s="76"/>
    </row>
    <row r="10" spans="1:14" x14ac:dyDescent="0.25">
      <c r="A10" s="80" t="s">
        <v>16</v>
      </c>
      <c r="B10" s="10">
        <v>12.1</v>
      </c>
      <c r="C10" s="80" t="s">
        <v>66</v>
      </c>
      <c r="D10" s="8" t="s">
        <v>20</v>
      </c>
      <c r="E10" s="8" t="s">
        <v>381</v>
      </c>
      <c r="F10" s="76" t="s">
        <v>28</v>
      </c>
      <c r="G10" s="42">
        <v>2.7476851851851851</v>
      </c>
      <c r="H10" s="43">
        <v>20</v>
      </c>
      <c r="I10" s="43">
        <v>1</v>
      </c>
      <c r="J10" s="44">
        <f>20/14</f>
        <v>1.4285714285714286</v>
      </c>
      <c r="K10" s="42">
        <f t="shared" si="0"/>
        <v>1.9233796296296295</v>
      </c>
      <c r="L10" s="76" t="s">
        <v>382</v>
      </c>
      <c r="M10" s="76" t="s">
        <v>383</v>
      </c>
      <c r="N10" s="141"/>
    </row>
    <row r="11" spans="1:14" ht="22.5" x14ac:dyDescent="0.25">
      <c r="A11" s="80" t="s">
        <v>16</v>
      </c>
      <c r="B11" s="10">
        <v>12.1</v>
      </c>
      <c r="C11" s="80" t="s">
        <v>66</v>
      </c>
      <c r="D11" s="8" t="s">
        <v>20</v>
      </c>
      <c r="E11" s="8" t="s">
        <v>366</v>
      </c>
      <c r="F11" s="80" t="s">
        <v>28</v>
      </c>
      <c r="G11" s="42">
        <v>1.6376203703703704</v>
      </c>
      <c r="H11" s="89">
        <v>1</v>
      </c>
      <c r="I11" s="89">
        <v>1</v>
      </c>
      <c r="J11" s="44">
        <f>365/84</f>
        <v>4.3452380952380949</v>
      </c>
      <c r="K11" s="42">
        <f t="shared" si="0"/>
        <v>0.37687701674277019</v>
      </c>
      <c r="L11" s="76" t="s">
        <v>384</v>
      </c>
      <c r="M11" s="76" t="s">
        <v>353</v>
      </c>
      <c r="N11" s="76"/>
    </row>
    <row r="12" spans="1:14" ht="22.5" x14ac:dyDescent="0.25">
      <c r="A12" s="80" t="s">
        <v>16</v>
      </c>
      <c r="B12" s="10">
        <v>12.1</v>
      </c>
      <c r="C12" s="80" t="s">
        <v>66</v>
      </c>
      <c r="D12" s="8" t="s">
        <v>20</v>
      </c>
      <c r="E12" s="8" t="s">
        <v>367</v>
      </c>
      <c r="F12" s="76" t="s">
        <v>28</v>
      </c>
      <c r="G12" s="42">
        <v>1.9233796296296297</v>
      </c>
      <c r="H12" s="43">
        <v>4</v>
      </c>
      <c r="I12" s="43">
        <v>1</v>
      </c>
      <c r="J12" s="44">
        <f>365/84*6</f>
        <v>26.071428571428569</v>
      </c>
      <c r="K12" s="42">
        <f t="shared" si="0"/>
        <v>7.3773465246067996E-2</v>
      </c>
      <c r="L12" s="76" t="s">
        <v>385</v>
      </c>
      <c r="M12" s="76" t="s">
        <v>386</v>
      </c>
      <c r="N12" s="80"/>
    </row>
    <row r="13" spans="1:14" ht="33.75" x14ac:dyDescent="0.25">
      <c r="A13" s="80" t="s">
        <v>16</v>
      </c>
      <c r="B13" s="10">
        <v>12.1</v>
      </c>
      <c r="C13" s="80" t="s">
        <v>66</v>
      </c>
      <c r="D13" s="8" t="s">
        <v>20</v>
      </c>
      <c r="E13" s="8" t="s">
        <v>387</v>
      </c>
      <c r="F13" s="80" t="s">
        <v>28</v>
      </c>
      <c r="G13" s="42">
        <v>0.76935185185185184</v>
      </c>
      <c r="H13" s="89">
        <v>1</v>
      </c>
      <c r="I13" s="43">
        <v>1</v>
      </c>
      <c r="J13" s="44">
        <f>365/84*6</f>
        <v>26.071428571428569</v>
      </c>
      <c r="K13" s="42">
        <f t="shared" si="0"/>
        <v>2.9509386098427196E-2</v>
      </c>
      <c r="L13" s="76" t="s">
        <v>388</v>
      </c>
      <c r="M13" s="76" t="s">
        <v>389</v>
      </c>
      <c r="N13" s="80"/>
    </row>
    <row r="14" spans="1:14" x14ac:dyDescent="0.25">
      <c r="A14" s="80" t="s">
        <v>16</v>
      </c>
      <c r="B14" s="10">
        <v>12.1</v>
      </c>
      <c r="C14" s="10" t="s">
        <v>66</v>
      </c>
      <c r="D14" s="12" t="s">
        <v>20</v>
      </c>
      <c r="E14" s="8" t="s">
        <v>355</v>
      </c>
      <c r="F14" s="80" t="s">
        <v>28</v>
      </c>
      <c r="G14" s="42">
        <v>1.0880833333333333</v>
      </c>
      <c r="H14" s="89">
        <v>1</v>
      </c>
      <c r="I14" s="89">
        <v>1</v>
      </c>
      <c r="J14" s="44">
        <f>365/84</f>
        <v>4.3452380952380949</v>
      </c>
      <c r="K14" s="42">
        <f t="shared" si="0"/>
        <v>0.2504082191780822</v>
      </c>
      <c r="L14" s="76" t="s">
        <v>390</v>
      </c>
      <c r="M14" s="76" t="s">
        <v>356</v>
      </c>
      <c r="N14" s="76"/>
    </row>
    <row r="15" spans="1:14" ht="22.5" x14ac:dyDescent="0.25">
      <c r="A15" s="80" t="s">
        <v>16</v>
      </c>
      <c r="B15" s="10">
        <v>12.1</v>
      </c>
      <c r="C15" s="10" t="s">
        <v>66</v>
      </c>
      <c r="D15" s="12" t="s">
        <v>20</v>
      </c>
      <c r="E15" s="8" t="s">
        <v>391</v>
      </c>
      <c r="F15" s="80" t="s">
        <v>362</v>
      </c>
      <c r="G15" s="42">
        <v>3.2862314814814817</v>
      </c>
      <c r="H15" s="89">
        <v>30</v>
      </c>
      <c r="I15" s="43">
        <v>1</v>
      </c>
      <c r="J15" s="44">
        <f>30/7</f>
        <v>4.2857142857142856</v>
      </c>
      <c r="K15" s="42">
        <f t="shared" si="0"/>
        <v>0.76678734567901241</v>
      </c>
      <c r="L15" s="76" t="s">
        <v>392</v>
      </c>
      <c r="M15" s="91" t="s">
        <v>393</v>
      </c>
      <c r="N15" s="76"/>
    </row>
    <row r="16" spans="1:14" ht="22.5" x14ac:dyDescent="0.25">
      <c r="A16" s="80" t="s">
        <v>16</v>
      </c>
      <c r="B16" s="10">
        <v>12.1</v>
      </c>
      <c r="C16" s="80" t="s">
        <v>66</v>
      </c>
      <c r="D16" s="12" t="s">
        <v>20</v>
      </c>
      <c r="E16" s="8" t="s">
        <v>368</v>
      </c>
      <c r="F16" s="80" t="s">
        <v>28</v>
      </c>
      <c r="G16" s="42">
        <v>0.8792592592592593</v>
      </c>
      <c r="H16" s="89">
        <v>1</v>
      </c>
      <c r="I16" s="89">
        <v>1</v>
      </c>
      <c r="J16" s="44">
        <f>365/84</f>
        <v>4.3452380952380949</v>
      </c>
      <c r="K16" s="42">
        <f t="shared" si="0"/>
        <v>0.20235007610350078</v>
      </c>
      <c r="L16" s="76" t="s">
        <v>394</v>
      </c>
      <c r="M16" s="76" t="s">
        <v>354</v>
      </c>
      <c r="N16" s="76"/>
    </row>
    <row r="17" spans="1:14" ht="22.5" x14ac:dyDescent="0.25">
      <c r="A17" s="80" t="s">
        <v>16</v>
      </c>
      <c r="B17" s="10">
        <v>12.1</v>
      </c>
      <c r="C17" s="80" t="s">
        <v>66</v>
      </c>
      <c r="D17" s="1" t="s">
        <v>20</v>
      </c>
      <c r="E17" s="8" t="s">
        <v>369</v>
      </c>
      <c r="F17" s="80" t="s">
        <v>73</v>
      </c>
      <c r="G17" s="42">
        <v>37.5</v>
      </c>
      <c r="H17" s="89">
        <v>1</v>
      </c>
      <c r="I17" s="89">
        <v>1</v>
      </c>
      <c r="J17" s="44">
        <f>365/7*3</f>
        <v>156.42857142857144</v>
      </c>
      <c r="K17" s="95">
        <f t="shared" si="0"/>
        <v>0.23972602739726026</v>
      </c>
      <c r="L17" s="76" t="s">
        <v>892</v>
      </c>
      <c r="M17" s="106" t="s">
        <v>893</v>
      </c>
      <c r="N17" s="76"/>
    </row>
    <row r="18" spans="1:14" ht="22.5" x14ac:dyDescent="0.25">
      <c r="A18" s="80" t="s">
        <v>16</v>
      </c>
      <c r="B18" s="10">
        <v>12.1</v>
      </c>
      <c r="C18" s="80" t="s">
        <v>66</v>
      </c>
      <c r="D18" s="1" t="s">
        <v>20</v>
      </c>
      <c r="E18" s="8" t="s">
        <v>369</v>
      </c>
      <c r="F18" s="80" t="s">
        <v>73</v>
      </c>
      <c r="G18" s="42">
        <v>35</v>
      </c>
      <c r="H18" s="89">
        <v>8</v>
      </c>
      <c r="I18" s="89">
        <v>1</v>
      </c>
      <c r="J18" s="44">
        <f>365/84*24</f>
        <v>104.28571428571428</v>
      </c>
      <c r="K18" s="95">
        <f t="shared" si="0"/>
        <v>0.33561643835616439</v>
      </c>
      <c r="L18" s="76" t="s">
        <v>894</v>
      </c>
      <c r="M18" s="106" t="s">
        <v>895</v>
      </c>
      <c r="N18" s="76"/>
    </row>
    <row r="19" spans="1:14" ht="27" customHeight="1" x14ac:dyDescent="0.25">
      <c r="A19" s="80" t="s">
        <v>16</v>
      </c>
      <c r="B19" s="10">
        <v>12.1</v>
      </c>
      <c r="C19" s="10" t="s">
        <v>66</v>
      </c>
      <c r="D19" s="8" t="s">
        <v>20</v>
      </c>
      <c r="E19" s="8" t="s">
        <v>395</v>
      </c>
      <c r="F19" s="80" t="s">
        <v>28</v>
      </c>
      <c r="G19" s="42">
        <v>0.8792592592592593</v>
      </c>
      <c r="H19" s="89">
        <v>30</v>
      </c>
      <c r="I19" s="43">
        <v>1</v>
      </c>
      <c r="J19" s="44">
        <f>30/7</f>
        <v>4.2857142857142856</v>
      </c>
      <c r="K19" s="58">
        <f t="shared" si="0"/>
        <v>0.20516049382716051</v>
      </c>
      <c r="L19" s="76" t="s">
        <v>396</v>
      </c>
      <c r="M19" s="76" t="s">
        <v>397</v>
      </c>
      <c r="N19" s="76"/>
    </row>
    <row r="20" spans="1:14" ht="22.5" x14ac:dyDescent="0.25">
      <c r="A20" s="80" t="s">
        <v>16</v>
      </c>
      <c r="B20" s="10">
        <v>12.1</v>
      </c>
      <c r="C20" s="10" t="s">
        <v>66</v>
      </c>
      <c r="D20" s="8" t="s">
        <v>20</v>
      </c>
      <c r="E20" s="8" t="s">
        <v>398</v>
      </c>
      <c r="F20" s="76" t="s">
        <v>50</v>
      </c>
      <c r="G20" s="42">
        <v>1.3738425925925926</v>
      </c>
      <c r="H20" s="43">
        <v>1</v>
      </c>
      <c r="I20" s="43">
        <v>1</v>
      </c>
      <c r="J20" s="44">
        <f>365/7*2</f>
        <v>104.28571428571429</v>
      </c>
      <c r="K20" s="42">
        <f t="shared" si="0"/>
        <v>1.3173833079654996E-2</v>
      </c>
      <c r="L20" s="76" t="s">
        <v>399</v>
      </c>
      <c r="M20" s="76" t="s">
        <v>400</v>
      </c>
      <c r="N20" s="76"/>
    </row>
    <row r="21" spans="1:14" ht="22.5" x14ac:dyDescent="0.25">
      <c r="A21" s="80" t="s">
        <v>16</v>
      </c>
      <c r="B21" s="10">
        <v>12.1</v>
      </c>
      <c r="C21" s="80" t="s">
        <v>66</v>
      </c>
      <c r="D21" s="8" t="s">
        <v>20</v>
      </c>
      <c r="E21" s="8" t="s">
        <v>371</v>
      </c>
      <c r="F21" s="80" t="s">
        <v>28</v>
      </c>
      <c r="G21" s="42">
        <v>1.0990740740740741</v>
      </c>
      <c r="H21" s="89">
        <v>1</v>
      </c>
      <c r="I21" s="89">
        <v>1</v>
      </c>
      <c r="J21" s="44">
        <f>365/84</f>
        <v>4.3452380952380949</v>
      </c>
      <c r="K21" s="95">
        <f t="shared" si="0"/>
        <v>0.25293759512937597</v>
      </c>
      <c r="L21" s="76" t="s">
        <v>401</v>
      </c>
      <c r="M21" s="140" t="s">
        <v>402</v>
      </c>
      <c r="N21" s="76"/>
    </row>
    <row r="22" spans="1:14" x14ac:dyDescent="0.25">
      <c r="A22" s="80" t="s">
        <v>16</v>
      </c>
      <c r="B22" s="10">
        <v>12.1</v>
      </c>
      <c r="C22" s="80" t="s">
        <v>66</v>
      </c>
      <c r="D22" s="8" t="s">
        <v>20</v>
      </c>
      <c r="E22" s="8" t="s">
        <v>403</v>
      </c>
      <c r="F22" s="76" t="s">
        <v>28</v>
      </c>
      <c r="G22" s="42">
        <v>1.0990740740740741</v>
      </c>
      <c r="H22" s="43">
        <v>1</v>
      </c>
      <c r="I22" s="43">
        <v>1</v>
      </c>
      <c r="J22" s="44">
        <f>365/84*3</f>
        <v>13.035714285714285</v>
      </c>
      <c r="K22" s="42">
        <f t="shared" si="0"/>
        <v>8.4312531709791985E-2</v>
      </c>
      <c r="L22" s="76" t="s">
        <v>404</v>
      </c>
      <c r="M22" s="76" t="s">
        <v>405</v>
      </c>
      <c r="N22" s="76"/>
    </row>
    <row r="23" spans="1:14" x14ac:dyDescent="0.25">
      <c r="A23" s="80" t="s">
        <v>16</v>
      </c>
      <c r="B23" s="10">
        <v>12.1</v>
      </c>
      <c r="C23" s="10" t="s">
        <v>66</v>
      </c>
      <c r="D23" s="8" t="s">
        <v>20</v>
      </c>
      <c r="E23" s="8" t="s">
        <v>406</v>
      </c>
      <c r="F23" s="76" t="s">
        <v>28</v>
      </c>
      <c r="G23" s="42">
        <v>0.82430555555555562</v>
      </c>
      <c r="H23" s="43">
        <v>2</v>
      </c>
      <c r="I23" s="43">
        <v>1</v>
      </c>
      <c r="J23" s="44">
        <f>365/84*2</f>
        <v>8.6904761904761898</v>
      </c>
      <c r="K23" s="42">
        <f t="shared" si="0"/>
        <v>9.4851598173516002E-2</v>
      </c>
      <c r="L23" s="76" t="s">
        <v>407</v>
      </c>
      <c r="M23" s="106" t="s">
        <v>408</v>
      </c>
      <c r="N23" s="76"/>
    </row>
    <row r="24" spans="1:14" ht="22.5" x14ac:dyDescent="0.25">
      <c r="A24" s="80" t="s">
        <v>16</v>
      </c>
      <c r="B24" s="10">
        <v>12.1</v>
      </c>
      <c r="C24" s="80" t="s">
        <v>66</v>
      </c>
      <c r="D24" s="8" t="s">
        <v>20</v>
      </c>
      <c r="E24" s="8" t="s">
        <v>372</v>
      </c>
      <c r="F24" s="76" t="s">
        <v>28</v>
      </c>
      <c r="G24" s="42">
        <v>1.9673425925925927</v>
      </c>
      <c r="H24" s="43">
        <v>1</v>
      </c>
      <c r="I24" s="43">
        <v>1</v>
      </c>
      <c r="J24" s="44">
        <f>365/84</f>
        <v>4.3452380952380949</v>
      </c>
      <c r="K24" s="42">
        <f t="shared" si="0"/>
        <v>0.45275829528158301</v>
      </c>
      <c r="L24" s="76" t="s">
        <v>384</v>
      </c>
      <c r="M24" s="76" t="s">
        <v>409</v>
      </c>
      <c r="N24" s="76"/>
    </row>
    <row r="25" spans="1:14" ht="22.5" x14ac:dyDescent="0.25">
      <c r="A25" s="80" t="s">
        <v>16</v>
      </c>
      <c r="B25" s="10">
        <v>12.1</v>
      </c>
      <c r="C25" s="80" t="s">
        <v>66</v>
      </c>
      <c r="D25" s="8" t="s">
        <v>20</v>
      </c>
      <c r="E25" s="8" t="s">
        <v>410</v>
      </c>
      <c r="F25" s="76" t="s">
        <v>28</v>
      </c>
      <c r="G25" s="42">
        <v>1.9673425925925927</v>
      </c>
      <c r="H25" s="43">
        <v>1</v>
      </c>
      <c r="I25" s="43">
        <v>1</v>
      </c>
      <c r="J25" s="44">
        <f>365/84</f>
        <v>4.3452380952380949</v>
      </c>
      <c r="K25" s="42">
        <f t="shared" si="0"/>
        <v>0.45275829528158301</v>
      </c>
      <c r="L25" s="76" t="s">
        <v>384</v>
      </c>
      <c r="M25" s="76" t="s">
        <v>411</v>
      </c>
      <c r="N25" s="76"/>
    </row>
    <row r="26" spans="1:14" ht="33.75" x14ac:dyDescent="0.25">
      <c r="A26" s="80" t="s">
        <v>16</v>
      </c>
      <c r="B26" s="10">
        <v>12.1</v>
      </c>
      <c r="C26" s="80" t="s">
        <v>66</v>
      </c>
      <c r="D26" s="8" t="s">
        <v>20</v>
      </c>
      <c r="E26" s="8" t="s">
        <v>412</v>
      </c>
      <c r="F26" s="76"/>
      <c r="G26" s="42">
        <v>10.99074074074074</v>
      </c>
      <c r="H26" s="43">
        <v>1</v>
      </c>
      <c r="I26" s="43">
        <v>1</v>
      </c>
      <c r="J26" s="44">
        <f>365/84*2</f>
        <v>8.6904761904761898</v>
      </c>
      <c r="K26" s="42">
        <f t="shared" si="0"/>
        <v>1.2646879756468798</v>
      </c>
      <c r="L26" s="76" t="s">
        <v>413</v>
      </c>
      <c r="M26" s="76"/>
      <c r="N26" s="76"/>
    </row>
    <row r="27" spans="1:14" ht="22.5" x14ac:dyDescent="0.25">
      <c r="A27" s="80" t="s">
        <v>16</v>
      </c>
      <c r="B27" s="10">
        <v>12.1</v>
      </c>
      <c r="C27" s="80" t="s">
        <v>66</v>
      </c>
      <c r="D27" s="8" t="s">
        <v>20</v>
      </c>
      <c r="E27" s="8" t="s">
        <v>414</v>
      </c>
      <c r="F27" s="76" t="s">
        <v>50</v>
      </c>
      <c r="G27" s="42">
        <v>1.0990740740740741</v>
      </c>
      <c r="H27" s="43">
        <v>1</v>
      </c>
      <c r="I27" s="43">
        <v>1</v>
      </c>
      <c r="J27" s="44">
        <f>365/84</f>
        <v>4.3452380952380949</v>
      </c>
      <c r="K27" s="42">
        <f t="shared" si="0"/>
        <v>0.25293759512937597</v>
      </c>
      <c r="L27" s="76" t="s">
        <v>401</v>
      </c>
      <c r="M27" s="76" t="s">
        <v>415</v>
      </c>
      <c r="N27" s="76"/>
    </row>
    <row r="28" spans="1:14" ht="24.75" customHeight="1" x14ac:dyDescent="0.25">
      <c r="A28" s="80" t="s">
        <v>16</v>
      </c>
      <c r="B28" s="10">
        <v>12.1</v>
      </c>
      <c r="C28" s="80" t="s">
        <v>66</v>
      </c>
      <c r="D28" s="8" t="s">
        <v>20</v>
      </c>
      <c r="E28" s="8" t="s">
        <v>416</v>
      </c>
      <c r="F28" s="76" t="s">
        <v>28</v>
      </c>
      <c r="G28" s="42">
        <v>1.2089814814814817</v>
      </c>
      <c r="H28" s="43">
        <v>1</v>
      </c>
      <c r="I28" s="43">
        <v>1</v>
      </c>
      <c r="J28" s="44">
        <f>365/84</f>
        <v>4.3452380952380949</v>
      </c>
      <c r="K28" s="42">
        <f t="shared" si="0"/>
        <v>0.27823135464231363</v>
      </c>
      <c r="L28" s="76" t="s">
        <v>417</v>
      </c>
      <c r="M28" s="76" t="s">
        <v>418</v>
      </c>
      <c r="N28" s="76"/>
    </row>
    <row r="29" spans="1:14" ht="22.5" x14ac:dyDescent="0.25">
      <c r="A29" s="80" t="s">
        <v>16</v>
      </c>
      <c r="B29" s="10">
        <v>12.1</v>
      </c>
      <c r="C29" s="80" t="s">
        <v>66</v>
      </c>
      <c r="D29" s="8" t="s">
        <v>20</v>
      </c>
      <c r="E29" s="8" t="s">
        <v>419</v>
      </c>
      <c r="F29" s="76" t="s">
        <v>28</v>
      </c>
      <c r="G29" s="42">
        <v>6.594444444444445</v>
      </c>
      <c r="H29" s="43">
        <v>1</v>
      </c>
      <c r="I29" s="43">
        <v>1</v>
      </c>
      <c r="J29" s="44">
        <f>365/84</f>
        <v>4.3452380952380949</v>
      </c>
      <c r="K29" s="42">
        <f t="shared" si="0"/>
        <v>1.517625570776256</v>
      </c>
      <c r="L29" s="76" t="s">
        <v>420</v>
      </c>
      <c r="M29" s="76" t="s">
        <v>364</v>
      </c>
      <c r="N29" s="76"/>
    </row>
    <row r="30" spans="1:14" ht="22.5" x14ac:dyDescent="0.25">
      <c r="A30" s="80" t="s">
        <v>16</v>
      </c>
      <c r="B30" s="10">
        <v>12.1</v>
      </c>
      <c r="C30" s="80" t="s">
        <v>66</v>
      </c>
      <c r="D30" s="8" t="s">
        <v>374</v>
      </c>
      <c r="E30" s="8" t="s">
        <v>370</v>
      </c>
      <c r="F30" s="80" t="s">
        <v>27</v>
      </c>
      <c r="G30" s="42">
        <v>6.594444444444445</v>
      </c>
      <c r="H30" s="43">
        <v>1</v>
      </c>
      <c r="I30" s="43">
        <v>1</v>
      </c>
      <c r="J30" s="44">
        <f>365/7</f>
        <v>52.142857142857146</v>
      </c>
      <c r="K30" s="42">
        <f t="shared" si="0"/>
        <v>0.12646879756468798</v>
      </c>
      <c r="L30" s="76" t="s">
        <v>421</v>
      </c>
      <c r="M30" s="76" t="s">
        <v>360</v>
      </c>
      <c r="N30" s="76"/>
    </row>
    <row r="31" spans="1:14" ht="24" customHeight="1" x14ac:dyDescent="0.25">
      <c r="A31" s="80" t="s">
        <v>16</v>
      </c>
      <c r="B31" s="10">
        <v>12.1</v>
      </c>
      <c r="C31" s="80" t="s">
        <v>66</v>
      </c>
      <c r="D31" s="8" t="s">
        <v>20</v>
      </c>
      <c r="E31" s="8" t="s">
        <v>357</v>
      </c>
      <c r="F31" s="80" t="s">
        <v>28</v>
      </c>
      <c r="G31" s="42">
        <v>0.54953703703703705</v>
      </c>
      <c r="H31" s="43">
        <v>1</v>
      </c>
      <c r="I31" s="43">
        <v>1</v>
      </c>
      <c r="J31" s="44">
        <f>365/7*5</f>
        <v>260.71428571428572</v>
      </c>
      <c r="K31" s="42">
        <f t="shared" si="0"/>
        <v>2.1078132927447994E-3</v>
      </c>
      <c r="L31" s="76" t="s">
        <v>798</v>
      </c>
      <c r="M31" s="76" t="s">
        <v>358</v>
      </c>
      <c r="N31" s="76"/>
    </row>
    <row r="32" spans="1:14" ht="26.25" customHeight="1" x14ac:dyDescent="0.25">
      <c r="A32" s="80" t="s">
        <v>16</v>
      </c>
      <c r="B32" s="10">
        <v>12.1</v>
      </c>
      <c r="C32" s="80" t="s">
        <v>66</v>
      </c>
      <c r="D32" s="8" t="s">
        <v>20</v>
      </c>
      <c r="E32" s="8" t="s">
        <v>422</v>
      </c>
      <c r="F32" s="76" t="s">
        <v>28</v>
      </c>
      <c r="G32" s="42">
        <v>5.4953703703703702</v>
      </c>
      <c r="H32" s="43">
        <v>1</v>
      </c>
      <c r="I32" s="43">
        <v>1</v>
      </c>
      <c r="J32" s="44">
        <f>365/7*5</f>
        <v>260.71428571428572</v>
      </c>
      <c r="K32" s="42">
        <f t="shared" si="0"/>
        <v>2.1078132927447996E-2</v>
      </c>
      <c r="L32" s="76" t="s">
        <v>423</v>
      </c>
      <c r="M32" s="106" t="s">
        <v>424</v>
      </c>
      <c r="N32" s="76"/>
    </row>
    <row r="33" spans="1:14" x14ac:dyDescent="0.25">
      <c r="A33" s="80" t="s">
        <v>16</v>
      </c>
      <c r="B33" s="10">
        <v>12.1</v>
      </c>
      <c r="C33" s="80" t="s">
        <v>66</v>
      </c>
      <c r="D33" s="8" t="s">
        <v>20</v>
      </c>
      <c r="E33" s="8" t="s">
        <v>361</v>
      </c>
      <c r="F33" s="80"/>
      <c r="G33" s="42">
        <v>0</v>
      </c>
      <c r="H33" s="43">
        <v>0</v>
      </c>
      <c r="I33" s="43">
        <v>0</v>
      </c>
      <c r="J33" s="44">
        <f>365/7*10</f>
        <v>521.42857142857144</v>
      </c>
      <c r="K33" s="42">
        <f t="shared" si="0"/>
        <v>0</v>
      </c>
      <c r="L33" s="76" t="s">
        <v>425</v>
      </c>
      <c r="M33" s="76" t="s">
        <v>426</v>
      </c>
      <c r="N33" s="76"/>
    </row>
    <row r="34" spans="1:14" ht="22.5" x14ac:dyDescent="0.25">
      <c r="A34" s="80" t="s">
        <v>16</v>
      </c>
      <c r="B34" s="10">
        <v>12.1</v>
      </c>
      <c r="C34" s="80" t="s">
        <v>66</v>
      </c>
      <c r="D34" s="8" t="s">
        <v>20</v>
      </c>
      <c r="E34" s="8" t="s">
        <v>427</v>
      </c>
      <c r="F34" s="76" t="s">
        <v>362</v>
      </c>
      <c r="G34" s="42">
        <v>4.385305555555556</v>
      </c>
      <c r="H34" s="43">
        <v>1</v>
      </c>
      <c r="I34" s="43">
        <v>1</v>
      </c>
      <c r="J34" s="44">
        <f>365/7*3</f>
        <v>156.42857142857144</v>
      </c>
      <c r="K34" s="42">
        <f t="shared" si="0"/>
        <v>2.8033916793505833E-2</v>
      </c>
      <c r="L34" s="76" t="s">
        <v>428</v>
      </c>
      <c r="M34" s="91" t="s">
        <v>429</v>
      </c>
      <c r="N34" s="76"/>
    </row>
    <row r="35" spans="1:14" ht="33.75" x14ac:dyDescent="0.25">
      <c r="A35" s="80" t="s">
        <v>16</v>
      </c>
      <c r="B35" s="10">
        <v>12.1</v>
      </c>
      <c r="C35" s="80" t="s">
        <v>66</v>
      </c>
      <c r="D35" s="8" t="s">
        <v>20</v>
      </c>
      <c r="E35" s="8" t="s">
        <v>430</v>
      </c>
      <c r="F35" s="76" t="s">
        <v>27</v>
      </c>
      <c r="G35" s="42">
        <v>2.4729166666666669</v>
      </c>
      <c r="H35" s="43">
        <v>1</v>
      </c>
      <c r="I35" s="43">
        <v>1</v>
      </c>
      <c r="J35" s="44">
        <f>365/7*10</f>
        <v>521.42857142857144</v>
      </c>
      <c r="K35" s="42">
        <f t="shared" si="0"/>
        <v>4.7425799086757989E-3</v>
      </c>
      <c r="L35" s="76" t="s">
        <v>431</v>
      </c>
      <c r="M35" s="76" t="s">
        <v>432</v>
      </c>
      <c r="N35" s="76"/>
    </row>
    <row r="36" spans="1:14" x14ac:dyDescent="0.25">
      <c r="A36" s="80" t="s">
        <v>16</v>
      </c>
      <c r="B36" s="10">
        <v>12.1</v>
      </c>
      <c r="C36" s="80" t="s">
        <v>66</v>
      </c>
      <c r="D36" s="8" t="s">
        <v>20</v>
      </c>
      <c r="E36" s="8" t="s">
        <v>433</v>
      </c>
      <c r="F36" s="76"/>
      <c r="G36" s="42">
        <v>15</v>
      </c>
      <c r="H36" s="43">
        <v>1</v>
      </c>
      <c r="I36" s="43">
        <v>1</v>
      </c>
      <c r="J36" s="44">
        <f>365/84</f>
        <v>4.3452380952380949</v>
      </c>
      <c r="K36" s="42">
        <f t="shared" si="0"/>
        <v>3.4520547945205484</v>
      </c>
      <c r="L36" s="76" t="s">
        <v>896</v>
      </c>
      <c r="M36" s="140"/>
      <c r="N36" s="76"/>
    </row>
    <row r="37" spans="1:14" x14ac:dyDescent="0.25">
      <c r="A37" s="80" t="s">
        <v>16</v>
      </c>
      <c r="B37" s="10">
        <v>12.1</v>
      </c>
      <c r="C37" s="80" t="s">
        <v>66</v>
      </c>
      <c r="D37" s="8" t="s">
        <v>20</v>
      </c>
      <c r="E37" s="8" t="s">
        <v>363</v>
      </c>
      <c r="F37" s="76"/>
      <c r="G37" s="42">
        <v>100</v>
      </c>
      <c r="H37" s="43">
        <v>1</v>
      </c>
      <c r="I37" s="43">
        <v>1</v>
      </c>
      <c r="J37" s="44">
        <f>365/7</f>
        <v>52.142857142857146</v>
      </c>
      <c r="K37" s="42">
        <f t="shared" si="0"/>
        <v>1.9178082191780821</v>
      </c>
      <c r="L37" s="48" t="s">
        <v>891</v>
      </c>
      <c r="M37" s="91"/>
      <c r="N37" s="76"/>
    </row>
    <row r="38" spans="1:14" ht="45" x14ac:dyDescent="0.25">
      <c r="A38" s="80" t="s">
        <v>16</v>
      </c>
      <c r="B38" s="10">
        <v>12.3</v>
      </c>
      <c r="C38" s="80" t="s">
        <v>66</v>
      </c>
      <c r="D38" s="8" t="s">
        <v>51</v>
      </c>
      <c r="E38" s="8" t="s">
        <v>434</v>
      </c>
      <c r="F38" s="76" t="s">
        <v>73</v>
      </c>
      <c r="G38" s="42">
        <v>46.719745222929937</v>
      </c>
      <c r="H38" s="43">
        <v>2</v>
      </c>
      <c r="I38" s="43">
        <v>1</v>
      </c>
      <c r="J38" s="44">
        <f>365/7*20</f>
        <v>1042.8571428571429</v>
      </c>
      <c r="K38" s="42">
        <f t="shared" si="0"/>
        <v>4.4799755693220485E-2</v>
      </c>
      <c r="L38" s="76" t="s">
        <v>435</v>
      </c>
      <c r="M38" s="76" t="s">
        <v>436</v>
      </c>
      <c r="N38" s="76"/>
    </row>
    <row r="39" spans="1:14" ht="22.5" x14ac:dyDescent="0.25">
      <c r="A39" s="80" t="s">
        <v>16</v>
      </c>
      <c r="B39" s="10">
        <v>12.3</v>
      </c>
      <c r="C39" s="80" t="s">
        <v>66</v>
      </c>
      <c r="D39" s="8" t="s">
        <v>51</v>
      </c>
      <c r="E39" s="8" t="s">
        <v>437</v>
      </c>
      <c r="F39" s="76" t="s">
        <v>49</v>
      </c>
      <c r="G39" s="42">
        <v>5.1807006369426754</v>
      </c>
      <c r="H39" s="43">
        <v>1</v>
      </c>
      <c r="I39" s="43">
        <v>1</v>
      </c>
      <c r="J39" s="44">
        <f>365/7*4</f>
        <v>208.57142857142858</v>
      </c>
      <c r="K39" s="42">
        <f t="shared" si="0"/>
        <v>2.4838975656574471E-2</v>
      </c>
      <c r="L39" s="76" t="s">
        <v>438</v>
      </c>
      <c r="M39" s="90" t="s">
        <v>439</v>
      </c>
      <c r="N39" s="76"/>
    </row>
    <row r="40" spans="1:14" x14ac:dyDescent="0.25">
      <c r="A40" s="80" t="s">
        <v>16</v>
      </c>
      <c r="B40" s="10">
        <v>12.3</v>
      </c>
      <c r="C40" s="80" t="s">
        <v>66</v>
      </c>
      <c r="D40" s="8" t="s">
        <v>51</v>
      </c>
      <c r="E40" s="76" t="s">
        <v>365</v>
      </c>
      <c r="F40" s="76" t="s">
        <v>27</v>
      </c>
      <c r="G40" s="42">
        <v>7.7866242038216562</v>
      </c>
      <c r="H40" s="43">
        <v>1</v>
      </c>
      <c r="I40" s="43">
        <v>1</v>
      </c>
      <c r="J40" s="44">
        <f>365/7*2</f>
        <v>104.28571428571429</v>
      </c>
      <c r="K40" s="42">
        <f t="shared" si="0"/>
        <v>7.4666259488700815E-2</v>
      </c>
      <c r="L40" s="76" t="s">
        <v>440</v>
      </c>
      <c r="M40" s="109" t="s">
        <v>441</v>
      </c>
      <c r="N40" s="76"/>
    </row>
    <row r="42" spans="1:14" ht="33.75" x14ac:dyDescent="0.25">
      <c r="E42" s="3" t="s">
        <v>824</v>
      </c>
      <c r="F42" s="20">
        <f>SUM(K5:K40)</f>
        <v>41.868113855205145</v>
      </c>
    </row>
  </sheetData>
  <printOptions gridLines="1"/>
  <pageMargins left="0.7" right="0.7" top="0.75" bottom="0.75" header="0.3" footer="0.3"/>
  <pageSetup paperSize="9"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N50"/>
  <sheetViews>
    <sheetView view="pageBreakPreview" zoomScaleNormal="80" zoomScaleSheetLayoutView="100" workbookViewId="0"/>
  </sheetViews>
  <sheetFormatPr defaultColWidth="8.85546875" defaultRowHeight="15" x14ac:dyDescent="0.25"/>
  <cols>
    <col min="1" max="1" width="5.42578125" customWidth="1"/>
    <col min="2" max="2" width="6.42578125" customWidth="1"/>
    <col min="3" max="3" width="5.85546875" customWidth="1"/>
    <col min="5" max="5" width="15.140625" customWidth="1"/>
    <col min="7" max="7" width="6.42578125" style="115" customWidth="1"/>
    <col min="8" max="8" width="5.85546875" style="115" customWidth="1"/>
    <col min="9" max="9" width="6.42578125" style="115" customWidth="1"/>
    <col min="10" max="10" width="7.140625" style="115" customWidth="1"/>
    <col min="11" max="11" width="6.140625" style="115" customWidth="1"/>
    <col min="12" max="12" width="31.85546875" customWidth="1"/>
    <col min="13" max="13" width="38" style="115" customWidth="1"/>
    <col min="14" max="14" width="11.42578125" customWidth="1"/>
  </cols>
  <sheetData>
    <row r="1" spans="1:14" x14ac:dyDescent="0.25">
      <c r="A1" s="28" t="s">
        <v>1187</v>
      </c>
      <c r="B1" s="14"/>
      <c r="C1" s="80"/>
      <c r="D1" s="80"/>
      <c r="E1" s="80"/>
      <c r="F1" s="80"/>
      <c r="G1" s="10"/>
      <c r="H1" s="10"/>
      <c r="I1" s="10"/>
      <c r="J1" s="10"/>
      <c r="K1" s="10"/>
      <c r="L1" s="76"/>
      <c r="M1" s="10"/>
      <c r="N1" s="80"/>
    </row>
    <row r="2" spans="1:14" x14ac:dyDescent="0.25">
      <c r="A2" s="134" t="s">
        <v>14</v>
      </c>
      <c r="B2" s="14"/>
      <c r="C2" s="134"/>
      <c r="D2" s="2"/>
      <c r="E2" s="2"/>
      <c r="F2" s="2"/>
      <c r="G2" s="3"/>
      <c r="H2" s="138"/>
      <c r="I2" s="3"/>
      <c r="J2" s="3"/>
      <c r="K2" s="3"/>
      <c r="L2" s="2"/>
      <c r="M2" s="3"/>
      <c r="N2" s="2"/>
    </row>
    <row r="3" spans="1:14" x14ac:dyDescent="0.25">
      <c r="A3" s="87" t="s">
        <v>794</v>
      </c>
      <c r="B3" s="11"/>
      <c r="C3" s="61"/>
      <c r="D3" s="61"/>
      <c r="E3" s="61"/>
      <c r="F3" s="61"/>
      <c r="G3" s="1"/>
      <c r="H3" s="1"/>
      <c r="I3" s="1"/>
      <c r="J3" s="1"/>
      <c r="K3" s="1"/>
      <c r="L3" s="61"/>
      <c r="M3" s="1"/>
      <c r="N3" s="139"/>
    </row>
    <row r="4" spans="1:14" ht="45" x14ac:dyDescent="0.25">
      <c r="A4" s="5" t="s">
        <v>0</v>
      </c>
      <c r="B4" s="5" t="s">
        <v>1</v>
      </c>
      <c r="C4" s="5" t="s">
        <v>2</v>
      </c>
      <c r="D4" s="6" t="s">
        <v>3</v>
      </c>
      <c r="E4" s="6" t="s">
        <v>4</v>
      </c>
      <c r="F4" s="6" t="s">
        <v>6</v>
      </c>
      <c r="G4" s="7" t="s">
        <v>7</v>
      </c>
      <c r="H4" s="7" t="s">
        <v>8</v>
      </c>
      <c r="I4" s="6" t="s">
        <v>9</v>
      </c>
      <c r="J4" s="6" t="s">
        <v>10</v>
      </c>
      <c r="K4" s="7" t="s">
        <v>11</v>
      </c>
      <c r="L4" s="7" t="s">
        <v>12</v>
      </c>
      <c r="M4" s="6" t="s">
        <v>13</v>
      </c>
      <c r="N4" s="6"/>
    </row>
    <row r="5" spans="1:14" x14ac:dyDescent="0.25">
      <c r="A5" s="8" t="s">
        <v>16</v>
      </c>
      <c r="B5" s="8">
        <v>6.2</v>
      </c>
      <c r="C5" s="8" t="s">
        <v>66</v>
      </c>
      <c r="D5" s="1" t="s">
        <v>15</v>
      </c>
      <c r="E5" s="1" t="s">
        <v>492</v>
      </c>
      <c r="F5" s="1"/>
      <c r="G5" s="95">
        <v>0</v>
      </c>
      <c r="H5" s="96">
        <v>1</v>
      </c>
      <c r="I5" s="104">
        <v>1</v>
      </c>
      <c r="J5" s="98">
        <f>365/7*2</f>
        <v>104.28571428571429</v>
      </c>
      <c r="K5" s="95">
        <f t="shared" ref="K5:K18" si="0">G5*I5/J5</f>
        <v>0</v>
      </c>
      <c r="L5" s="9" t="s">
        <v>493</v>
      </c>
      <c r="M5" s="1" t="s">
        <v>494</v>
      </c>
    </row>
    <row r="6" spans="1:14" ht="45" x14ac:dyDescent="0.25">
      <c r="A6" s="80" t="s">
        <v>16</v>
      </c>
      <c r="B6" s="10">
        <v>6.1</v>
      </c>
      <c r="C6" s="80" t="s">
        <v>66</v>
      </c>
      <c r="D6" s="8" t="s">
        <v>15</v>
      </c>
      <c r="E6" s="8" t="s">
        <v>17</v>
      </c>
      <c r="F6" s="76"/>
      <c r="G6" s="42">
        <v>216.1319890009166</v>
      </c>
      <c r="H6" s="43">
        <v>1</v>
      </c>
      <c r="I6" s="43">
        <v>1</v>
      </c>
      <c r="J6" s="44">
        <f>365/7*2</f>
        <v>104.28571428571429</v>
      </c>
      <c r="K6" s="42">
        <f t="shared" si="0"/>
        <v>2.0724985246663237</v>
      </c>
      <c r="L6" s="76" t="s">
        <v>495</v>
      </c>
      <c r="M6" s="142" t="s">
        <v>496</v>
      </c>
    </row>
    <row r="7" spans="1:14" ht="22.5" x14ac:dyDescent="0.25">
      <c r="A7" s="80" t="s">
        <v>16</v>
      </c>
      <c r="B7" s="10">
        <v>6.2</v>
      </c>
      <c r="C7" s="80" t="s">
        <v>66</v>
      </c>
      <c r="D7" s="8" t="s">
        <v>15</v>
      </c>
      <c r="E7" s="8" t="s">
        <v>18</v>
      </c>
      <c r="F7" s="141"/>
      <c r="G7" s="42">
        <v>24.792493744787325</v>
      </c>
      <c r="H7" s="43">
        <v>1</v>
      </c>
      <c r="I7" s="43">
        <v>2</v>
      </c>
      <c r="J7" s="44">
        <f>365/7</f>
        <v>52.142857142857146</v>
      </c>
      <c r="K7" s="95">
        <f t="shared" si="0"/>
        <v>0.9509449655534864</v>
      </c>
      <c r="L7" s="76" t="s">
        <v>497</v>
      </c>
      <c r="M7" s="8" t="s">
        <v>34</v>
      </c>
    </row>
    <row r="8" spans="1:14" ht="22.5" x14ac:dyDescent="0.25">
      <c r="A8" s="80" t="s">
        <v>16</v>
      </c>
      <c r="B8" s="10">
        <v>6.2</v>
      </c>
      <c r="C8" s="80" t="s">
        <v>66</v>
      </c>
      <c r="D8" s="8" t="s">
        <v>15</v>
      </c>
      <c r="E8" s="8" t="s">
        <v>19</v>
      </c>
      <c r="F8" s="76"/>
      <c r="G8" s="42">
        <v>294.59316096747295</v>
      </c>
      <c r="H8" s="43">
        <v>1</v>
      </c>
      <c r="I8" s="43">
        <v>1</v>
      </c>
      <c r="J8" s="44">
        <f>365/7*5</f>
        <v>260.71428571428572</v>
      </c>
      <c r="K8" s="95">
        <f t="shared" si="0"/>
        <v>1.1299463708341428</v>
      </c>
      <c r="L8" s="76" t="s">
        <v>498</v>
      </c>
      <c r="M8" s="8" t="s">
        <v>499</v>
      </c>
    </row>
    <row r="9" spans="1:14" ht="22.5" x14ac:dyDescent="0.25">
      <c r="A9" s="80" t="s">
        <v>16</v>
      </c>
      <c r="B9" s="10">
        <v>6.2</v>
      </c>
      <c r="C9" s="80" t="s">
        <v>66</v>
      </c>
      <c r="D9" s="8" t="s">
        <v>15</v>
      </c>
      <c r="E9" s="8" t="s">
        <v>500</v>
      </c>
      <c r="F9" s="76"/>
      <c r="G9" s="42">
        <v>31.251042535446206</v>
      </c>
      <c r="H9" s="43">
        <v>1</v>
      </c>
      <c r="I9" s="43">
        <v>1</v>
      </c>
      <c r="J9" s="44">
        <f>365/84*2</f>
        <v>8.6904761904761898</v>
      </c>
      <c r="K9" s="42">
        <f t="shared" si="0"/>
        <v>3.5960103739417555</v>
      </c>
      <c r="L9" s="76" t="s">
        <v>501</v>
      </c>
      <c r="M9" s="143"/>
    </row>
    <row r="10" spans="1:14" ht="34.5" customHeight="1" x14ac:dyDescent="0.25">
      <c r="A10" s="80" t="s">
        <v>16</v>
      </c>
      <c r="B10" s="10">
        <v>6.1</v>
      </c>
      <c r="C10" s="80" t="s">
        <v>66</v>
      </c>
      <c r="D10" s="8" t="s">
        <v>15</v>
      </c>
      <c r="E10" s="8" t="s">
        <v>22</v>
      </c>
      <c r="F10" s="80" t="s">
        <v>28</v>
      </c>
      <c r="G10" s="42">
        <v>0.31339138405132905</v>
      </c>
      <c r="H10" s="43">
        <v>16</v>
      </c>
      <c r="I10" s="43">
        <v>1</v>
      </c>
      <c r="J10" s="44">
        <f>365/84*2</f>
        <v>8.6904761904761898</v>
      </c>
      <c r="K10" s="42">
        <f t="shared" si="0"/>
        <v>3.6061474329194029E-2</v>
      </c>
      <c r="L10" s="76" t="s">
        <v>502</v>
      </c>
      <c r="M10" s="8" t="s">
        <v>29</v>
      </c>
    </row>
    <row r="11" spans="1:14" x14ac:dyDescent="0.25">
      <c r="A11" s="80" t="s">
        <v>16</v>
      </c>
      <c r="B11" s="10">
        <v>6.1</v>
      </c>
      <c r="C11" s="80" t="s">
        <v>66</v>
      </c>
      <c r="D11" s="8" t="s">
        <v>15</v>
      </c>
      <c r="E11" s="8" t="s">
        <v>503</v>
      </c>
      <c r="F11" s="76" t="s">
        <v>28</v>
      </c>
      <c r="G11" s="42">
        <v>2.4314848762603121</v>
      </c>
      <c r="H11" s="43">
        <v>1</v>
      </c>
      <c r="I11" s="43">
        <v>1</v>
      </c>
      <c r="J11" s="44">
        <f>365/7</f>
        <v>52.142857142857146</v>
      </c>
      <c r="K11" s="42">
        <f t="shared" si="0"/>
        <v>4.6631216804992284E-2</v>
      </c>
      <c r="L11" s="76" t="s">
        <v>504</v>
      </c>
      <c r="M11" s="8" t="s">
        <v>505</v>
      </c>
    </row>
    <row r="12" spans="1:14" x14ac:dyDescent="0.25">
      <c r="A12" s="80" t="s">
        <v>16</v>
      </c>
      <c r="B12" s="10">
        <v>6.1</v>
      </c>
      <c r="C12" s="80" t="s">
        <v>66</v>
      </c>
      <c r="D12" s="8" t="s">
        <v>15</v>
      </c>
      <c r="E12" s="8" t="s">
        <v>23</v>
      </c>
      <c r="F12" s="80" t="s">
        <v>28</v>
      </c>
      <c r="G12" s="42">
        <v>4.3226397800183323</v>
      </c>
      <c r="H12" s="43">
        <v>10</v>
      </c>
      <c r="I12" s="43">
        <v>1</v>
      </c>
      <c r="J12" s="44">
        <f>365/7</f>
        <v>52.142857142857146</v>
      </c>
      <c r="K12" s="42">
        <f t="shared" si="0"/>
        <v>8.2899940986652945E-2</v>
      </c>
      <c r="L12" s="76" t="s">
        <v>506</v>
      </c>
      <c r="M12" s="128" t="s">
        <v>30</v>
      </c>
    </row>
    <row r="13" spans="1:14" x14ac:dyDescent="0.25">
      <c r="A13" s="80" t="s">
        <v>16</v>
      </c>
      <c r="B13" s="10">
        <v>6.1</v>
      </c>
      <c r="C13" s="80" t="s">
        <v>66</v>
      </c>
      <c r="D13" s="8" t="s">
        <v>15</v>
      </c>
      <c r="E13" s="8" t="s">
        <v>507</v>
      </c>
      <c r="F13" s="76" t="s">
        <v>28</v>
      </c>
      <c r="G13" s="42">
        <v>4.8629697525206241</v>
      </c>
      <c r="H13" s="43">
        <v>1</v>
      </c>
      <c r="I13" s="43">
        <v>1</v>
      </c>
      <c r="J13" s="44">
        <f>365/84*6</f>
        <v>26.071428571428569</v>
      </c>
      <c r="K13" s="42">
        <f t="shared" si="0"/>
        <v>0.18652486721996916</v>
      </c>
      <c r="L13" s="76" t="s">
        <v>508</v>
      </c>
      <c r="M13" s="8" t="s">
        <v>509</v>
      </c>
    </row>
    <row r="14" spans="1:14" ht="22.5" x14ac:dyDescent="0.25">
      <c r="A14" s="80" t="s">
        <v>16</v>
      </c>
      <c r="B14" s="10">
        <v>6.1</v>
      </c>
      <c r="C14" s="80" t="s">
        <v>66</v>
      </c>
      <c r="D14" s="8" t="s">
        <v>15</v>
      </c>
      <c r="E14" s="8" t="s">
        <v>510</v>
      </c>
      <c r="F14" s="76" t="s">
        <v>28</v>
      </c>
      <c r="G14" s="42">
        <v>4.8629697525206241</v>
      </c>
      <c r="H14" s="43">
        <v>1</v>
      </c>
      <c r="I14" s="43">
        <v>1</v>
      </c>
      <c r="J14" s="44">
        <f>365/84</f>
        <v>4.3452380952380949</v>
      </c>
      <c r="K14" s="42">
        <f t="shared" si="0"/>
        <v>1.1191492033198149</v>
      </c>
      <c r="L14" s="76" t="s">
        <v>511</v>
      </c>
      <c r="M14" s="8" t="s">
        <v>512</v>
      </c>
    </row>
    <row r="15" spans="1:14" ht="22.5" x14ac:dyDescent="0.25">
      <c r="A15" s="80" t="s">
        <v>16</v>
      </c>
      <c r="B15" s="8">
        <v>6.1</v>
      </c>
      <c r="C15" s="10" t="s">
        <v>66</v>
      </c>
      <c r="D15" s="12" t="s">
        <v>15</v>
      </c>
      <c r="E15" s="76" t="s">
        <v>25</v>
      </c>
      <c r="F15" s="80" t="s">
        <v>28</v>
      </c>
      <c r="G15" s="43">
        <v>1.2427589367552705</v>
      </c>
      <c r="H15" s="43">
        <v>40</v>
      </c>
      <c r="I15" s="43">
        <v>1</v>
      </c>
      <c r="J15" s="44">
        <f>365/7*5</f>
        <v>260.71428571428572</v>
      </c>
      <c r="K15" s="42">
        <f t="shared" si="0"/>
        <v>4.7667466067325441E-3</v>
      </c>
      <c r="L15" s="13" t="s">
        <v>513</v>
      </c>
      <c r="M15" s="8" t="s">
        <v>32</v>
      </c>
    </row>
    <row r="16" spans="1:14" ht="24.75" customHeight="1" x14ac:dyDescent="0.25">
      <c r="A16" s="80" t="s">
        <v>16</v>
      </c>
      <c r="B16" s="10">
        <v>6.1</v>
      </c>
      <c r="C16" s="80" t="s">
        <v>66</v>
      </c>
      <c r="D16" s="8" t="s">
        <v>15</v>
      </c>
      <c r="E16" s="80" t="s">
        <v>24</v>
      </c>
      <c r="F16" s="80" t="s">
        <v>28</v>
      </c>
      <c r="G16" s="43">
        <v>3.5121448212648949</v>
      </c>
      <c r="H16" s="43">
        <v>1</v>
      </c>
      <c r="I16" s="59">
        <v>1</v>
      </c>
      <c r="J16" s="60">
        <f>365/7</f>
        <v>52.142857142857146</v>
      </c>
      <c r="K16" s="58">
        <f t="shared" si="0"/>
        <v>6.7356202051655517E-2</v>
      </c>
      <c r="L16" s="76" t="s">
        <v>514</v>
      </c>
      <c r="M16" s="8" t="s">
        <v>31</v>
      </c>
    </row>
    <row r="17" spans="1:14" ht="101.45" customHeight="1" x14ac:dyDescent="0.25">
      <c r="A17" s="80" t="s">
        <v>16</v>
      </c>
      <c r="B17" s="10">
        <v>6.1</v>
      </c>
      <c r="C17" s="80" t="s">
        <v>66</v>
      </c>
      <c r="D17" s="8" t="s">
        <v>15</v>
      </c>
      <c r="E17" s="8" t="s">
        <v>26</v>
      </c>
      <c r="F17" s="80" t="s">
        <v>27</v>
      </c>
      <c r="G17" s="42">
        <v>9.7259395050412483</v>
      </c>
      <c r="H17" s="43">
        <v>1</v>
      </c>
      <c r="I17" s="43">
        <v>1</v>
      </c>
      <c r="J17" s="44">
        <f>365/7*2</f>
        <v>104.28571428571429</v>
      </c>
      <c r="K17" s="42">
        <f t="shared" si="0"/>
        <v>9.3262433609984569E-2</v>
      </c>
      <c r="L17" s="76" t="s">
        <v>515</v>
      </c>
      <c r="M17" s="8" t="s">
        <v>33</v>
      </c>
      <c r="N17" s="76"/>
    </row>
    <row r="18" spans="1:14" ht="36.75" customHeight="1" x14ac:dyDescent="0.25">
      <c r="A18" s="80" t="s">
        <v>16</v>
      </c>
      <c r="B18" s="10">
        <v>6.1</v>
      </c>
      <c r="C18" s="80" t="s">
        <v>66</v>
      </c>
      <c r="D18" s="8" t="s">
        <v>15</v>
      </c>
      <c r="E18" s="8" t="s">
        <v>516</v>
      </c>
      <c r="F18" s="76" t="s">
        <v>362</v>
      </c>
      <c r="G18" s="42">
        <v>4.3118331805682866</v>
      </c>
      <c r="H18" s="43">
        <v>1</v>
      </c>
      <c r="I18" s="43">
        <v>1</v>
      </c>
      <c r="J18" s="44">
        <f>365/7*10</f>
        <v>521.42857142857144</v>
      </c>
      <c r="K18" s="42">
        <f t="shared" si="0"/>
        <v>8.2692691134186314E-3</v>
      </c>
      <c r="L18" s="76" t="s">
        <v>517</v>
      </c>
      <c r="M18" s="107" t="s">
        <v>518</v>
      </c>
    </row>
    <row r="20" spans="1:14" ht="33.75" x14ac:dyDescent="0.25">
      <c r="E20" s="3" t="s">
        <v>824</v>
      </c>
      <c r="F20" s="20">
        <f>SUM(K5:K18)</f>
        <v>9.3943215890381211</v>
      </c>
    </row>
    <row r="34" ht="57" customHeight="1" x14ac:dyDescent="0.25"/>
    <row r="44" ht="50.25" customHeight="1" x14ac:dyDescent="0.25"/>
    <row r="50" ht="30.75" customHeight="1" x14ac:dyDescent="0.25"/>
  </sheetData>
  <printOptions gridLines="1"/>
  <pageMargins left="0.7" right="0.7" top="0.75" bottom="0.75" header="0.3" footer="0.3"/>
  <pageSetup paperSize="9" scale="7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4" ma:contentTypeDescription="Create a new document." ma:contentTypeScope="" ma:versionID="cc81f830150d8d0dd02e5564932f652e">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4fad576642296d42d6bf3d161d9f286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B1D6CA4-8584-40F6-9AEC-63F685457DCA}">
  <ds:schemaRefs>
    <ds:schemaRef ds:uri="http://schemas.microsoft.com/sharepoint/v3/contenttype/forms"/>
  </ds:schemaRefs>
</ds:datastoreItem>
</file>

<file path=customXml/itemProps2.xml><?xml version="1.0" encoding="utf-8"?>
<ds:datastoreItem xmlns:ds="http://schemas.openxmlformats.org/officeDocument/2006/customXml" ds:itemID="{5309255C-3E77-4C98-9EAE-048DE4997028}">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customXml/itemProps3.xml><?xml version="1.0" encoding="utf-8"?>
<ds:datastoreItem xmlns:ds="http://schemas.openxmlformats.org/officeDocument/2006/customXml" ds:itemID="{D0F5AF77-5DB5-499E-A545-3CBEA58D06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Totals</vt:lpstr>
      <vt:lpstr>Food</vt:lpstr>
      <vt:lpstr>Alcohol</vt:lpstr>
      <vt:lpstr>Clothing</vt:lpstr>
      <vt:lpstr>Housing</vt:lpstr>
      <vt:lpstr>HHGoods</vt:lpstr>
      <vt:lpstr>HHServices</vt:lpstr>
      <vt:lpstr>PersonalGoods+Services</vt:lpstr>
      <vt:lpstr>Health</vt:lpstr>
      <vt:lpstr>Transport</vt:lpstr>
      <vt:lpstr>LeisureGoods</vt:lpstr>
      <vt:lpstr>LeisureServices</vt:lpstr>
      <vt:lpstr>Clothing!Print_Area</vt:lpstr>
      <vt:lpstr>Food!Print_Area</vt:lpstr>
      <vt:lpstr>Health!Print_Area</vt:lpstr>
      <vt:lpstr>HHGoods!Print_Area</vt:lpstr>
      <vt:lpstr>LeisureServices!Print_Area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2022-09-01T21:51:38Z</cp:lastPrinted>
  <dcterms:created xsi:type="dcterms:W3CDTF">2022-04-20T14:21:19Z</dcterms:created>
  <dcterms:modified xsi:type="dcterms:W3CDTF">2024-01-23T21:47:20Z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