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napfltd.sharepoint.com/sites/PolicyAdvocacy/Research/2023/37. RLS/2023/FILE FOR GALLAGHER 2023/Data Spreadsheets for web/"/>
    </mc:Choice>
  </mc:AlternateContent>
  <xr:revisionPtr revIDLastSave="40" documentId="13_ncr:1_{03C31411-8634-024A-8426-BB9FADEFA99D}" xr6:coauthVersionLast="47" xr6:coauthVersionMax="47" xr10:uidLastSave="{F9D534F9-A082-46DD-9607-C289FFCC9BDB}"/>
  <bookViews>
    <workbookView xWindow="1950" yWindow="1950" windowWidth="19845" windowHeight="11295" xr2:uid="{FF745DE7-E49C-4FB1-8FA5-F6BB029BB396}"/>
  </bookViews>
  <sheets>
    <sheet name="Totals" sheetId="18" r:id="rId1"/>
    <sheet name="Food" sheetId="15" r:id="rId2"/>
    <sheet name="Alcohol" sheetId="16" r:id="rId3"/>
    <sheet name="Clothing" sheetId="13" r:id="rId4"/>
    <sheet name="Housing" sheetId="5" r:id="rId5"/>
    <sheet name="HHGoods" sheetId="6" r:id="rId6"/>
    <sheet name="HHServices" sheetId="11" r:id="rId7"/>
    <sheet name="PersonalGoods+Services" sheetId="7" r:id="rId8"/>
    <sheet name="Health" sheetId="12" r:id="rId9"/>
    <sheet name="Transport" sheetId="8" r:id="rId10"/>
    <sheet name="LeisureGoods" sheetId="9" r:id="rId11"/>
    <sheet name="LeisureServices" sheetId="10" r:id="rId12"/>
  </sheets>
  <externalReferences>
    <externalReference r:id="rId13"/>
  </externalReferences>
  <definedNames>
    <definedName name="MISA">[1]A!$F$12</definedName>
    <definedName name="MISA1">[1]A!$F$10</definedName>
    <definedName name="MISA2">[1]A!$F$11</definedName>
    <definedName name="MISB">[1]B!$F$15</definedName>
    <definedName name="MISB1">[1]B!$F$11</definedName>
    <definedName name="MISB1A">[1]B!$F$12</definedName>
    <definedName name="MISB1B">[1]B!$F$13</definedName>
    <definedName name="MISB2">[1]B!$F$14</definedName>
    <definedName name="MISC">[1]C!$F$14</definedName>
    <definedName name="MISD">[1]D!$E$9</definedName>
    <definedName name="MISD1">[1]D!$E$10</definedName>
    <definedName name="MISD2">[1]D!#REF!</definedName>
    <definedName name="MISD3">[1]D!$E$12</definedName>
    <definedName name="MISD4">[1]D!$E$13</definedName>
    <definedName name="MISD5">[1]D!$E$14</definedName>
    <definedName name="MISD6">[1]D!$E$15</definedName>
    <definedName name="MISD7">[1]D!$E$11</definedName>
    <definedName name="MISE">[1]E!$F$22</definedName>
    <definedName name="MISE1">[1]E!$F$15</definedName>
    <definedName name="MISE2">[1]E!$F$16</definedName>
    <definedName name="MISE2A">[1]E!$F$17</definedName>
    <definedName name="MISE2A1">[1]E!$F$18</definedName>
    <definedName name="MISE2A2">[1]E!$F$19</definedName>
    <definedName name="MISE2B">[1]E!$F$20</definedName>
    <definedName name="MISE2C">[1]E!$F$21</definedName>
    <definedName name="MISF">[1]F!$F$8</definedName>
    <definedName name="MISG">[1]G!$F$15</definedName>
    <definedName name="MISG1">[1]G!$F$13</definedName>
    <definedName name="MISG2">[1]G!$F$14</definedName>
    <definedName name="MISH">[1]H!$F$22</definedName>
    <definedName name="MISH1">[1]H!$F$16</definedName>
    <definedName name="MISH2">[1]H!$F$17</definedName>
    <definedName name="MISH3">[1]H!$F$18</definedName>
    <definedName name="MISH4">[1]H!$F$19</definedName>
    <definedName name="MISH5">[1]H!$F$20</definedName>
    <definedName name="MISH6">[1]H!$F$21</definedName>
    <definedName name="_xlnm.Print_Area" localSheetId="2">Alcohol!$A$1:$M$9</definedName>
    <definedName name="_xlnm.Print_Area" localSheetId="3">Clothing!$A$1:$M$8</definedName>
    <definedName name="_xlnm.Print_Area" localSheetId="5">HHGoods!$A$1:$M$223</definedName>
    <definedName name="_xlnm.Print_Area" localSheetId="6">HHServices!$A$1:$M$18</definedName>
    <definedName name="_xlnm.Print_Area" localSheetId="10">LeisureGoods!$A$1:$M$22</definedName>
    <definedName name="_xlnm.Print_Titles" localSheetId="3">Clothing!$1:$4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105" i="15" l="1"/>
  <c r="H27" i="18"/>
  <c r="I16" i="5"/>
  <c r="I15" i="5"/>
  <c r="I12" i="5"/>
  <c r="H12" i="5"/>
  <c r="H16" i="5"/>
  <c r="H15" i="5"/>
  <c r="E29" i="18" l="1"/>
  <c r="G17" i="11"/>
  <c r="G16" i="11"/>
  <c r="J206" i="6" l="1"/>
  <c r="K206" i="6" s="1"/>
  <c r="J204" i="6"/>
  <c r="K204" i="6" s="1"/>
  <c r="J210" i="6"/>
  <c r="K210" i="6" s="1"/>
  <c r="J209" i="6"/>
  <c r="K209" i="6" s="1"/>
  <c r="J208" i="6"/>
  <c r="K208" i="6" s="1"/>
  <c r="J207" i="6"/>
  <c r="K207" i="6" s="1"/>
  <c r="J205" i="6"/>
  <c r="K205" i="6" s="1"/>
  <c r="J203" i="6"/>
  <c r="K203" i="6" s="1"/>
  <c r="J215" i="6"/>
  <c r="K215" i="6" s="1"/>
  <c r="J216" i="6"/>
  <c r="K216" i="6" s="1"/>
  <c r="J220" i="6"/>
  <c r="K220" i="6" s="1"/>
  <c r="J219" i="6"/>
  <c r="K219" i="6" s="1"/>
  <c r="J218" i="6"/>
  <c r="K218" i="6" s="1"/>
  <c r="J217" i="6"/>
  <c r="K217" i="6" s="1"/>
  <c r="J214" i="6"/>
  <c r="K214" i="6" s="1"/>
  <c r="J213" i="6"/>
  <c r="K213" i="6" s="1"/>
  <c r="J212" i="6"/>
  <c r="K212" i="6" s="1"/>
  <c r="J211" i="6"/>
  <c r="K211" i="6" s="1"/>
  <c r="J201" i="6" l="1"/>
  <c r="J198" i="6"/>
  <c r="K198" i="6" s="1"/>
  <c r="J199" i="6"/>
  <c r="J187" i="6"/>
  <c r="K187" i="6" s="1"/>
  <c r="J191" i="6"/>
  <c r="K191" i="6" s="1"/>
  <c r="J192" i="6"/>
  <c r="K192" i="6" s="1"/>
  <c r="J193" i="6"/>
  <c r="K193" i="6" s="1"/>
  <c r="J190" i="6"/>
  <c r="K190" i="6" s="1"/>
  <c r="J189" i="6"/>
  <c r="K189" i="6" s="1"/>
  <c r="J188" i="6"/>
  <c r="K188" i="6" s="1"/>
  <c r="J178" i="6"/>
  <c r="K178" i="6" s="1"/>
  <c r="J172" i="6"/>
  <c r="J173" i="6"/>
  <c r="J174" i="6"/>
  <c r="J171" i="6"/>
  <c r="J167" i="6"/>
  <c r="J164" i="6"/>
  <c r="J165" i="6"/>
  <c r="J163" i="6"/>
  <c r="J161" i="6"/>
  <c r="J160" i="6"/>
  <c r="J144" i="6"/>
  <c r="J143" i="6"/>
  <c r="J142" i="6"/>
  <c r="J140" i="6"/>
  <c r="J137" i="6"/>
  <c r="K137" i="6" s="1"/>
  <c r="J138" i="6"/>
  <c r="K138" i="6" s="1"/>
  <c r="J119" i="6"/>
  <c r="K85" i="15"/>
  <c r="J72" i="6"/>
  <c r="K72" i="6" s="1"/>
  <c r="J71" i="6"/>
  <c r="K71" i="6" s="1"/>
  <c r="J97" i="6"/>
  <c r="K97" i="6" s="1"/>
  <c r="J81" i="6"/>
  <c r="K81" i="6" s="1"/>
  <c r="J80" i="6"/>
  <c r="K80" i="6" s="1"/>
  <c r="J79" i="6"/>
  <c r="K79" i="6" s="1"/>
  <c r="J78" i="6"/>
  <c r="K78" i="6" s="1"/>
  <c r="J77" i="6"/>
  <c r="K77" i="6" s="1"/>
  <c r="J76" i="6"/>
  <c r="K76" i="6" s="1"/>
  <c r="J74" i="6"/>
  <c r="J61" i="6"/>
  <c r="J70" i="6"/>
  <c r="K70" i="6" s="1"/>
  <c r="J69" i="6"/>
  <c r="K69" i="6" s="1"/>
  <c r="J68" i="6"/>
  <c r="J67" i="6"/>
  <c r="J66" i="6"/>
  <c r="J63" i="6"/>
  <c r="K63" i="6" s="1"/>
  <c r="J64" i="6"/>
  <c r="K64" i="6" s="1"/>
  <c r="J49" i="6"/>
  <c r="K49" i="6" s="1"/>
  <c r="J48" i="6"/>
  <c r="K48" i="6" s="1"/>
  <c r="J57" i="6"/>
  <c r="K57" i="6" s="1"/>
  <c r="J56" i="6"/>
  <c r="K56" i="6" s="1"/>
  <c r="J54" i="6"/>
  <c r="J53" i="6"/>
  <c r="J52" i="6"/>
  <c r="J47" i="6"/>
  <c r="K47" i="6" s="1"/>
  <c r="J46" i="6"/>
  <c r="K46" i="6" s="1"/>
  <c r="J45" i="6"/>
  <c r="J41" i="6"/>
  <c r="K41" i="6" s="1"/>
  <c r="J40" i="6"/>
  <c r="J39" i="6"/>
  <c r="J37" i="6"/>
  <c r="J35" i="6"/>
  <c r="K35" i="6" s="1"/>
  <c r="J34" i="6"/>
  <c r="J10" i="11" l="1"/>
  <c r="J13" i="11"/>
  <c r="K13" i="11" s="1"/>
  <c r="J12" i="11"/>
  <c r="K12" i="11" s="1"/>
  <c r="J11" i="11"/>
  <c r="K11" i="11" s="1"/>
  <c r="K10" i="11"/>
  <c r="J6" i="11"/>
  <c r="K6" i="11" s="1"/>
  <c r="J33" i="6"/>
  <c r="J17" i="6"/>
  <c r="K17" i="6" s="1"/>
  <c r="J16" i="6"/>
  <c r="K16" i="6" s="1"/>
  <c r="J15" i="6"/>
  <c r="J14" i="6"/>
  <c r="K14" i="6" s="1"/>
  <c r="J25" i="6"/>
  <c r="K25" i="6" s="1"/>
  <c r="J24" i="6"/>
  <c r="K24" i="6" s="1"/>
  <c r="J19" i="6"/>
  <c r="K19" i="6" s="1"/>
  <c r="J22" i="6"/>
  <c r="K22" i="6" s="1"/>
  <c r="J27" i="6"/>
  <c r="K27" i="6" s="1"/>
  <c r="J21" i="6"/>
  <c r="K21" i="6" s="1"/>
  <c r="J9" i="6" l="1"/>
  <c r="K9" i="6" s="1"/>
  <c r="J8" i="6"/>
  <c r="K8" i="6" s="1"/>
  <c r="J7" i="6"/>
  <c r="K7" i="6" s="1"/>
  <c r="J139" i="6"/>
  <c r="K139" i="6" s="1"/>
  <c r="J51" i="6"/>
  <c r="J43" i="6"/>
  <c r="K43" i="6" s="1"/>
  <c r="J159" i="6"/>
  <c r="K159" i="6" s="1"/>
  <c r="J50" i="6"/>
  <c r="K50" i="6" s="1"/>
  <c r="J29" i="6"/>
  <c r="K29" i="6" s="1"/>
  <c r="J13" i="6"/>
  <c r="K13" i="6" s="1"/>
  <c r="J197" i="6"/>
  <c r="K197" i="6" s="1"/>
  <c r="J180" i="6"/>
  <c r="K180" i="6" s="1"/>
  <c r="J202" i="6"/>
  <c r="K202" i="6" s="1"/>
  <c r="K201" i="6"/>
  <c r="J200" i="6"/>
  <c r="K200" i="6" s="1"/>
  <c r="K199" i="6"/>
  <c r="J196" i="6"/>
  <c r="K196" i="6" s="1"/>
  <c r="J181" i="6"/>
  <c r="K181" i="6" s="1"/>
  <c r="J157" i="6"/>
  <c r="K157" i="6" s="1"/>
  <c r="J44" i="6"/>
  <c r="K44" i="6" s="1"/>
  <c r="J9" i="11" l="1"/>
  <c r="K9" i="11" s="1"/>
  <c r="F18" i="5"/>
  <c r="H10" i="5"/>
  <c r="I10" i="5" s="1"/>
  <c r="E111" i="15"/>
  <c r="J108" i="15"/>
  <c r="K108" i="15" s="1"/>
  <c r="J62" i="7"/>
  <c r="K62" i="7" s="1"/>
  <c r="K39" i="7"/>
  <c r="J36" i="7"/>
  <c r="K36" i="7" s="1"/>
  <c r="J40" i="7"/>
  <c r="J49" i="7"/>
  <c r="K49" i="7" s="1"/>
  <c r="J48" i="7"/>
  <c r="K48" i="7" s="1"/>
  <c r="J19" i="7"/>
  <c r="K19" i="7" s="1"/>
  <c r="J18" i="7"/>
  <c r="K18" i="7" s="1"/>
  <c r="J8" i="7"/>
  <c r="K10" i="7"/>
  <c r="E39" i="18"/>
  <c r="E22" i="9"/>
  <c r="J18" i="12"/>
  <c r="K18" i="12" s="1"/>
  <c r="J17" i="12"/>
  <c r="K17" i="12" s="1"/>
  <c r="J16" i="12"/>
  <c r="K16" i="12" s="1"/>
  <c r="J15" i="12"/>
  <c r="K15" i="12" s="1"/>
  <c r="J14" i="12"/>
  <c r="K14" i="12" s="1"/>
  <c r="J13" i="12"/>
  <c r="K13" i="12" s="1"/>
  <c r="J12" i="12"/>
  <c r="K12" i="12" s="1"/>
  <c r="J11" i="12"/>
  <c r="K11" i="12" s="1"/>
  <c r="J10" i="12"/>
  <c r="K10" i="12" s="1"/>
  <c r="J9" i="12"/>
  <c r="K9" i="12" s="1"/>
  <c r="J8" i="12"/>
  <c r="K8" i="12" s="1"/>
  <c r="J7" i="12"/>
  <c r="K7" i="12" s="1"/>
  <c r="J6" i="12"/>
  <c r="K6" i="12" s="1"/>
  <c r="J5" i="12"/>
  <c r="K5" i="12" s="1"/>
  <c r="E25" i="10"/>
  <c r="E24" i="10"/>
  <c r="E22" i="10"/>
  <c r="K16" i="10"/>
  <c r="K17" i="10"/>
  <c r="J17" i="10"/>
  <c r="K14" i="10"/>
  <c r="K15" i="10"/>
  <c r="J19" i="10"/>
  <c r="K19" i="10" s="1"/>
  <c r="J18" i="10"/>
  <c r="K18" i="10" s="1"/>
  <c r="J17" i="9"/>
  <c r="J20" i="9"/>
  <c r="K20" i="9" s="1"/>
  <c r="K5" i="16"/>
  <c r="K7" i="16"/>
  <c r="K6" i="16"/>
  <c r="J5" i="16"/>
  <c r="J103" i="15"/>
  <c r="K103" i="15" s="1"/>
  <c r="J102" i="15"/>
  <c r="K102" i="15" s="1"/>
  <c r="J101" i="15"/>
  <c r="K101" i="15" s="1"/>
  <c r="J99" i="15"/>
  <c r="K99" i="15" s="1"/>
  <c r="J98" i="15"/>
  <c r="K98" i="15" s="1"/>
  <c r="J96" i="15"/>
  <c r="K96" i="15" s="1"/>
  <c r="J95" i="15"/>
  <c r="K95" i="15" s="1"/>
  <c r="J94" i="15"/>
  <c r="K94" i="15" s="1"/>
  <c r="J93" i="15"/>
  <c r="K93" i="15" s="1"/>
  <c r="J92" i="15"/>
  <c r="K92" i="15" s="1"/>
  <c r="J91" i="15"/>
  <c r="K91" i="15" s="1"/>
  <c r="J90" i="15"/>
  <c r="K90" i="15" s="1"/>
  <c r="J89" i="15"/>
  <c r="K89" i="15" s="1"/>
  <c r="J88" i="15"/>
  <c r="K88" i="15" s="1"/>
  <c r="J79" i="15"/>
  <c r="K79" i="15" s="1"/>
  <c r="J78" i="15"/>
  <c r="J74" i="15"/>
  <c r="K74" i="15" s="1"/>
  <c r="J66" i="15"/>
  <c r="K66" i="15" s="1"/>
  <c r="J64" i="15"/>
  <c r="K64" i="15" s="1"/>
  <c r="J60" i="15"/>
  <c r="K60" i="15" s="1"/>
  <c r="J59" i="15"/>
  <c r="K59" i="15" s="1"/>
  <c r="J57" i="15"/>
  <c r="K57" i="15" s="1"/>
  <c r="J56" i="15"/>
  <c r="K56" i="15" s="1"/>
  <c r="J54" i="15"/>
  <c r="K54" i="15" s="1"/>
  <c r="J53" i="15"/>
  <c r="K53" i="15" s="1"/>
  <c r="J51" i="15"/>
  <c r="K51" i="15" s="1"/>
  <c r="J50" i="15"/>
  <c r="K50" i="15" s="1"/>
  <c r="J49" i="15"/>
  <c r="K49" i="15" s="1"/>
  <c r="J48" i="15"/>
  <c r="K48" i="15" s="1"/>
  <c r="J45" i="15"/>
  <c r="K45" i="15" s="1"/>
  <c r="J42" i="15"/>
  <c r="K42" i="15" s="1"/>
  <c r="J41" i="15"/>
  <c r="J40" i="15"/>
  <c r="K40" i="15" s="1"/>
  <c r="J38" i="15"/>
  <c r="K38" i="15" s="1"/>
  <c r="J37" i="15"/>
  <c r="K37" i="15" s="1"/>
  <c r="J34" i="15"/>
  <c r="K34" i="15" s="1"/>
  <c r="J33" i="15"/>
  <c r="K33" i="15" s="1"/>
  <c r="J32" i="15"/>
  <c r="K32" i="15" s="1"/>
  <c r="J31" i="15"/>
  <c r="J29" i="15"/>
  <c r="K29" i="15" s="1"/>
  <c r="J28" i="15"/>
  <c r="J25" i="15"/>
  <c r="K25" i="15" s="1"/>
  <c r="J24" i="15"/>
  <c r="K24" i="15" s="1"/>
  <c r="J23" i="15"/>
  <c r="K23" i="15" s="1"/>
  <c r="J22" i="15"/>
  <c r="K22" i="15" s="1"/>
  <c r="J21" i="15"/>
  <c r="K21" i="15" s="1"/>
  <c r="J14" i="15"/>
  <c r="K14" i="15" s="1"/>
  <c r="J12" i="15"/>
  <c r="K12" i="15" s="1"/>
  <c r="J11" i="15"/>
  <c r="K11" i="15" s="1"/>
  <c r="J9" i="15"/>
  <c r="K9" i="15" s="1"/>
  <c r="K104" i="15"/>
  <c r="K107" i="15"/>
  <c r="K5" i="15"/>
  <c r="K6" i="15"/>
  <c r="K7" i="15"/>
  <c r="K8" i="15"/>
  <c r="K10" i="15"/>
  <c r="K13" i="15"/>
  <c r="K15" i="15"/>
  <c r="K16" i="15"/>
  <c r="K17" i="15"/>
  <c r="K18" i="15"/>
  <c r="K19" i="15"/>
  <c r="K20" i="15"/>
  <c r="K26" i="15"/>
  <c r="K27" i="15"/>
  <c r="K28" i="15"/>
  <c r="K30" i="15"/>
  <c r="K31" i="15"/>
  <c r="K35" i="15"/>
  <c r="K36" i="15"/>
  <c r="K39" i="15"/>
  <c r="K41" i="15"/>
  <c r="K43" i="15"/>
  <c r="K44" i="15"/>
  <c r="K46" i="15"/>
  <c r="K47" i="15"/>
  <c r="K52" i="15"/>
  <c r="K55" i="15"/>
  <c r="K58" i="15"/>
  <c r="K61" i="15"/>
  <c r="K62" i="15"/>
  <c r="K63" i="15"/>
  <c r="K65" i="15"/>
  <c r="K67" i="15"/>
  <c r="K68" i="15"/>
  <c r="K69" i="15"/>
  <c r="K70" i="15"/>
  <c r="K71" i="15"/>
  <c r="K72" i="15"/>
  <c r="K73" i="15"/>
  <c r="K75" i="15"/>
  <c r="K76" i="15"/>
  <c r="K77" i="15"/>
  <c r="K78" i="15"/>
  <c r="K80" i="15"/>
  <c r="K81" i="15"/>
  <c r="K82" i="15"/>
  <c r="K83" i="15"/>
  <c r="K84" i="15"/>
  <c r="K86" i="15"/>
  <c r="K87" i="15"/>
  <c r="K97" i="15"/>
  <c r="K100" i="15"/>
  <c r="K106" i="15"/>
  <c r="F8" i="16" l="1"/>
  <c r="J13" i="9" l="1"/>
  <c r="K13" i="9" s="1"/>
  <c r="J12" i="9"/>
  <c r="K12" i="9" s="1"/>
  <c r="J11" i="9"/>
  <c r="K11" i="9" s="1"/>
  <c r="J10" i="10"/>
  <c r="K10" i="10" s="1"/>
  <c r="J9" i="10"/>
  <c r="K9" i="10" s="1"/>
  <c r="J6" i="10"/>
  <c r="K6" i="10" s="1"/>
  <c r="J9" i="9"/>
  <c r="K9" i="9" s="1"/>
  <c r="J7" i="9"/>
  <c r="K7" i="9" s="1"/>
  <c r="J6" i="9"/>
  <c r="K6" i="9" s="1"/>
  <c r="J5" i="9"/>
  <c r="E14" i="18"/>
  <c r="J6" i="13"/>
  <c r="K6" i="13" s="1"/>
  <c r="J5" i="13"/>
  <c r="K5" i="13" s="1"/>
  <c r="H9" i="5" l="1"/>
  <c r="I9" i="5" s="1"/>
  <c r="H6" i="5"/>
  <c r="I6" i="5" s="1"/>
  <c r="H5" i="5"/>
  <c r="F5" i="5"/>
  <c r="I5" i="5" s="1"/>
  <c r="K7" i="8" l="1"/>
  <c r="J8" i="8"/>
  <c r="K8" i="8" s="1"/>
  <c r="E32" i="18" l="1"/>
  <c r="J9" i="8"/>
  <c r="H17" i="18"/>
  <c r="H7" i="18"/>
  <c r="F20" i="12"/>
  <c r="E16" i="18"/>
  <c r="F15" i="5"/>
  <c r="E18" i="18" s="1"/>
  <c r="H10" i="18" s="1"/>
  <c r="E7" i="18"/>
  <c r="E110" i="15"/>
  <c r="E6" i="18" s="1"/>
  <c r="K9" i="8" l="1"/>
  <c r="E5" i="18"/>
  <c r="H5" i="18" s="1"/>
  <c r="J13" i="10"/>
  <c r="K13" i="10" s="1"/>
  <c r="J12" i="10"/>
  <c r="K12" i="10" s="1"/>
  <c r="K11" i="10"/>
  <c r="J8" i="10"/>
  <c r="K8" i="10" s="1"/>
  <c r="J5" i="10"/>
  <c r="K5" i="10" s="1"/>
  <c r="E23" i="10" s="1"/>
  <c r="E38" i="18" s="1"/>
  <c r="J19" i="9"/>
  <c r="K19" i="9" s="1"/>
  <c r="J18" i="9"/>
  <c r="K18" i="9" s="1"/>
  <c r="K17" i="9"/>
  <c r="J16" i="9"/>
  <c r="K16" i="9" s="1"/>
  <c r="J15" i="9"/>
  <c r="K15" i="9" s="1"/>
  <c r="J14" i="9"/>
  <c r="K14" i="9" s="1"/>
  <c r="J10" i="9"/>
  <c r="K10" i="9" s="1"/>
  <c r="J8" i="9"/>
  <c r="K8" i="9" s="1"/>
  <c r="K5" i="9"/>
  <c r="J6" i="8"/>
  <c r="K6" i="8" s="1"/>
  <c r="E10" i="8" s="1"/>
  <c r="E33" i="18" s="1"/>
  <c r="H18" i="18" s="1"/>
  <c r="J66" i="7"/>
  <c r="K66" i="7" s="1"/>
  <c r="J65" i="7"/>
  <c r="K65" i="7" s="1"/>
  <c r="J64" i="7"/>
  <c r="K64" i="7" s="1"/>
  <c r="J63" i="7"/>
  <c r="K63" i="7" s="1"/>
  <c r="J61" i="7"/>
  <c r="K61" i="7" s="1"/>
  <c r="J60" i="7"/>
  <c r="K60" i="7" s="1"/>
  <c r="J59" i="7"/>
  <c r="K59" i="7" s="1"/>
  <c r="J58" i="7"/>
  <c r="K58" i="7" s="1"/>
  <c r="J57" i="7"/>
  <c r="K57" i="7" s="1"/>
  <c r="J56" i="7"/>
  <c r="K56" i="7" s="1"/>
  <c r="J55" i="7"/>
  <c r="K55" i="7" s="1"/>
  <c r="J54" i="7"/>
  <c r="K54" i="7" s="1"/>
  <c r="J53" i="7"/>
  <c r="K53" i="7" s="1"/>
  <c r="J52" i="7"/>
  <c r="K52" i="7" s="1"/>
  <c r="J51" i="7"/>
  <c r="K51" i="7" s="1"/>
  <c r="J50" i="7"/>
  <c r="K50" i="7" s="1"/>
  <c r="J47" i="7"/>
  <c r="K47" i="7" s="1"/>
  <c r="J46" i="7"/>
  <c r="K46" i="7" s="1"/>
  <c r="J45" i="7"/>
  <c r="K45" i="7" s="1"/>
  <c r="K44" i="7"/>
  <c r="J43" i="7"/>
  <c r="K43" i="7" s="1"/>
  <c r="J42" i="7"/>
  <c r="K42" i="7" s="1"/>
  <c r="J41" i="7"/>
  <c r="K41" i="7" s="1"/>
  <c r="K40" i="7"/>
  <c r="K38" i="7"/>
  <c r="J37" i="7"/>
  <c r="K37" i="7" s="1"/>
  <c r="J35" i="7"/>
  <c r="K35" i="7" s="1"/>
  <c r="J34" i="7"/>
  <c r="K34" i="7" s="1"/>
  <c r="J33" i="7"/>
  <c r="K33" i="7" s="1"/>
  <c r="J32" i="7"/>
  <c r="K32" i="7" s="1"/>
  <c r="J31" i="7"/>
  <c r="K31" i="7" s="1"/>
  <c r="J30" i="7"/>
  <c r="K30" i="7" s="1"/>
  <c r="J29" i="7"/>
  <c r="K29" i="7" s="1"/>
  <c r="J28" i="7"/>
  <c r="K28" i="7" s="1"/>
  <c r="J27" i="7"/>
  <c r="K27" i="7" s="1"/>
  <c r="J26" i="7"/>
  <c r="K26" i="7" s="1"/>
  <c r="J25" i="7"/>
  <c r="K25" i="7" s="1"/>
  <c r="J24" i="7"/>
  <c r="K24" i="7" s="1"/>
  <c r="J23" i="7"/>
  <c r="K23" i="7" s="1"/>
  <c r="J22" i="7"/>
  <c r="K22" i="7" s="1"/>
  <c r="J21" i="7"/>
  <c r="K21" i="7" s="1"/>
  <c r="J20" i="7"/>
  <c r="K20" i="7" s="1"/>
  <c r="J17" i="7"/>
  <c r="K17" i="7" s="1"/>
  <c r="J16" i="7"/>
  <c r="K16" i="7" s="1"/>
  <c r="J15" i="7"/>
  <c r="K15" i="7" s="1"/>
  <c r="J14" i="7"/>
  <c r="K14" i="7" s="1"/>
  <c r="J13" i="7"/>
  <c r="K13" i="7" s="1"/>
  <c r="J12" i="7"/>
  <c r="K12" i="7" s="1"/>
  <c r="J11" i="7"/>
  <c r="K11" i="7" s="1"/>
  <c r="K9" i="7"/>
  <c r="K8" i="7"/>
  <c r="K7" i="7"/>
  <c r="J6" i="7"/>
  <c r="K6" i="7" s="1"/>
  <c r="J5" i="7"/>
  <c r="K5" i="7" s="1"/>
  <c r="K8" i="11"/>
  <c r="J7" i="11"/>
  <c r="K7" i="11" s="1"/>
  <c r="K5" i="11"/>
  <c r="G15" i="11" s="1"/>
  <c r="E26" i="18" s="1"/>
  <c r="J195" i="6"/>
  <c r="K195" i="6" s="1"/>
  <c r="J194" i="6"/>
  <c r="K194" i="6" s="1"/>
  <c r="J186" i="6"/>
  <c r="K186" i="6" s="1"/>
  <c r="J185" i="6"/>
  <c r="K185" i="6" s="1"/>
  <c r="J184" i="6"/>
  <c r="K184" i="6" s="1"/>
  <c r="J183" i="6"/>
  <c r="K183" i="6" s="1"/>
  <c r="J182" i="6"/>
  <c r="K182" i="6" s="1"/>
  <c r="J179" i="6"/>
  <c r="K179" i="6" s="1"/>
  <c r="J177" i="6"/>
  <c r="K177" i="6" s="1"/>
  <c r="J176" i="6"/>
  <c r="K176" i="6" s="1"/>
  <c r="J175" i="6"/>
  <c r="K175" i="6" s="1"/>
  <c r="K174" i="6"/>
  <c r="K173" i="6"/>
  <c r="K172" i="6"/>
  <c r="K171" i="6"/>
  <c r="J170" i="6"/>
  <c r="K170" i="6" s="1"/>
  <c r="J169" i="6"/>
  <c r="K169" i="6" s="1"/>
  <c r="J168" i="6"/>
  <c r="K168" i="6" s="1"/>
  <c r="K167" i="6"/>
  <c r="J166" i="6"/>
  <c r="K166" i="6" s="1"/>
  <c r="K165" i="6"/>
  <c r="K164" i="6"/>
  <c r="K163" i="6"/>
  <c r="J162" i="6"/>
  <c r="K162" i="6" s="1"/>
  <c r="K161" i="6"/>
  <c r="K160" i="6"/>
  <c r="J158" i="6"/>
  <c r="K158" i="6" s="1"/>
  <c r="K156" i="6"/>
  <c r="J155" i="6"/>
  <c r="K155" i="6" s="1"/>
  <c r="J154" i="6"/>
  <c r="K154" i="6" s="1"/>
  <c r="K153" i="6"/>
  <c r="J152" i="6"/>
  <c r="K152" i="6" s="1"/>
  <c r="J151" i="6"/>
  <c r="K151" i="6" s="1"/>
  <c r="J150" i="6"/>
  <c r="K150" i="6" s="1"/>
  <c r="J149" i="6"/>
  <c r="K149" i="6" s="1"/>
  <c r="J148" i="6"/>
  <c r="K148" i="6" s="1"/>
  <c r="J147" i="6"/>
  <c r="K147" i="6" s="1"/>
  <c r="J146" i="6"/>
  <c r="K146" i="6" s="1"/>
  <c r="J145" i="6"/>
  <c r="K145" i="6" s="1"/>
  <c r="K144" i="6"/>
  <c r="K143" i="6"/>
  <c r="K142" i="6"/>
  <c r="J141" i="6"/>
  <c r="K141" i="6" s="1"/>
  <c r="K140" i="6"/>
  <c r="J136" i="6"/>
  <c r="K136" i="6" s="1"/>
  <c r="J135" i="6"/>
  <c r="K135" i="6" s="1"/>
  <c r="J134" i="6"/>
  <c r="K134" i="6" s="1"/>
  <c r="J133" i="6"/>
  <c r="K133" i="6" s="1"/>
  <c r="J132" i="6"/>
  <c r="K132" i="6" s="1"/>
  <c r="J131" i="6"/>
  <c r="K131" i="6" s="1"/>
  <c r="K130" i="6"/>
  <c r="K129" i="6"/>
  <c r="J128" i="6"/>
  <c r="K128" i="6" s="1"/>
  <c r="K127" i="6"/>
  <c r="J126" i="6"/>
  <c r="K126" i="6" s="1"/>
  <c r="K125" i="6"/>
  <c r="K124" i="6"/>
  <c r="J123" i="6"/>
  <c r="K123" i="6" s="1"/>
  <c r="J122" i="6"/>
  <c r="K122" i="6" s="1"/>
  <c r="K121" i="6"/>
  <c r="J120" i="6"/>
  <c r="K120" i="6" s="1"/>
  <c r="K119" i="6"/>
  <c r="J118" i="6"/>
  <c r="K118" i="6" s="1"/>
  <c r="J117" i="6"/>
  <c r="K117" i="6" s="1"/>
  <c r="J116" i="6"/>
  <c r="K116" i="6" s="1"/>
  <c r="J115" i="6"/>
  <c r="K115" i="6" s="1"/>
  <c r="J114" i="6"/>
  <c r="K114" i="6" s="1"/>
  <c r="J113" i="6"/>
  <c r="K113" i="6" s="1"/>
  <c r="J112" i="6"/>
  <c r="K112" i="6" s="1"/>
  <c r="J111" i="6"/>
  <c r="K111" i="6" s="1"/>
  <c r="J110" i="6"/>
  <c r="K110" i="6" s="1"/>
  <c r="K109" i="6"/>
  <c r="J108" i="6"/>
  <c r="K108" i="6" s="1"/>
  <c r="J107" i="6"/>
  <c r="K107" i="6" s="1"/>
  <c r="J106" i="6"/>
  <c r="K106" i="6" s="1"/>
  <c r="J105" i="6"/>
  <c r="K105" i="6" s="1"/>
  <c r="J104" i="6"/>
  <c r="K104" i="6" s="1"/>
  <c r="J103" i="6"/>
  <c r="K103" i="6" s="1"/>
  <c r="J102" i="6"/>
  <c r="K102" i="6" s="1"/>
  <c r="J101" i="6"/>
  <c r="K101" i="6" s="1"/>
  <c r="J100" i="6"/>
  <c r="K100" i="6" s="1"/>
  <c r="J99" i="6"/>
  <c r="K99" i="6" s="1"/>
  <c r="J98" i="6"/>
  <c r="K98" i="6" s="1"/>
  <c r="J96" i="6"/>
  <c r="K96" i="6" s="1"/>
  <c r="J95" i="6"/>
  <c r="K95" i="6" s="1"/>
  <c r="J94" i="6"/>
  <c r="K94" i="6" s="1"/>
  <c r="J93" i="6"/>
  <c r="K93" i="6" s="1"/>
  <c r="J92" i="6"/>
  <c r="K92" i="6" s="1"/>
  <c r="J91" i="6"/>
  <c r="K91" i="6" s="1"/>
  <c r="J90" i="6"/>
  <c r="K90" i="6" s="1"/>
  <c r="J89" i="6"/>
  <c r="K89" i="6" s="1"/>
  <c r="J88" i="6"/>
  <c r="K88" i="6" s="1"/>
  <c r="J87" i="6"/>
  <c r="K87" i="6" s="1"/>
  <c r="J86" i="6"/>
  <c r="K86" i="6" s="1"/>
  <c r="J85" i="6"/>
  <c r="K85" i="6" s="1"/>
  <c r="J84" i="6"/>
  <c r="K84" i="6" s="1"/>
  <c r="J83" i="6"/>
  <c r="K83" i="6" s="1"/>
  <c r="J82" i="6"/>
  <c r="K82" i="6" s="1"/>
  <c r="J75" i="6"/>
  <c r="K75" i="6" s="1"/>
  <c r="K74" i="6"/>
  <c r="J73" i="6"/>
  <c r="K73" i="6" s="1"/>
  <c r="K68" i="6"/>
  <c r="K67" i="6"/>
  <c r="K66" i="6"/>
  <c r="J62" i="6"/>
  <c r="K62" i="6" s="1"/>
  <c r="K61" i="6"/>
  <c r="J60" i="6"/>
  <c r="K60" i="6" s="1"/>
  <c r="J59" i="6"/>
  <c r="K59" i="6" s="1"/>
  <c r="J58" i="6"/>
  <c r="K58" i="6" s="1"/>
  <c r="J55" i="6"/>
  <c r="K55" i="6" s="1"/>
  <c r="K54" i="6"/>
  <c r="K53" i="6"/>
  <c r="K52" i="6"/>
  <c r="K51" i="6"/>
  <c r="K45" i="6"/>
  <c r="J42" i="6"/>
  <c r="K42" i="6" s="1"/>
  <c r="K40" i="6"/>
  <c r="K39" i="6"/>
  <c r="J38" i="6"/>
  <c r="K38" i="6" s="1"/>
  <c r="K37" i="6"/>
  <c r="J36" i="6"/>
  <c r="K36" i="6" s="1"/>
  <c r="K34" i="6"/>
  <c r="K33" i="6"/>
  <c r="J32" i="6"/>
  <c r="K32" i="6" s="1"/>
  <c r="J31" i="6"/>
  <c r="K31" i="6" s="1"/>
  <c r="J30" i="6"/>
  <c r="K30" i="6" s="1"/>
  <c r="J28" i="6"/>
  <c r="K28" i="6" s="1"/>
  <c r="J18" i="6"/>
  <c r="K18" i="6" s="1"/>
  <c r="K15" i="6"/>
  <c r="J12" i="6"/>
  <c r="K12" i="6" s="1"/>
  <c r="J11" i="6"/>
  <c r="K11" i="6" s="1"/>
  <c r="J10" i="6"/>
  <c r="K10" i="6" s="1"/>
  <c r="J6" i="6"/>
  <c r="K6" i="6" s="1"/>
  <c r="J5" i="6"/>
  <c r="K5" i="6" s="1"/>
  <c r="E11" i="18"/>
  <c r="E10" i="18"/>
  <c r="G223" i="6" l="1"/>
  <c r="E23" i="18" s="1"/>
  <c r="H14" i="18" s="1"/>
  <c r="E27" i="18"/>
  <c r="E24" i="18" s="1"/>
  <c r="H15" i="18" s="1"/>
  <c r="E9" i="18"/>
  <c r="H6" i="18" s="1"/>
  <c r="E37" i="18"/>
  <c r="E35" i="18"/>
  <c r="E40" i="18"/>
  <c r="F68" i="7"/>
  <c r="E31" i="18" s="1"/>
  <c r="H16" i="18" s="1"/>
  <c r="E8" i="13"/>
  <c r="H8" i="18" s="1"/>
  <c r="E21" i="18"/>
  <c r="H13" i="18" s="1"/>
  <c r="H8" i="5"/>
  <c r="I8" i="5" s="1"/>
  <c r="F17" i="5" s="1"/>
  <c r="E20" i="18" s="1"/>
  <c r="H12" i="18" s="1"/>
  <c r="H7" i="5"/>
  <c r="I7" i="5" s="1"/>
  <c r="F16" i="5" s="1"/>
  <c r="E19" i="18" s="1"/>
  <c r="H11" i="18" s="1"/>
  <c r="E15" i="18"/>
  <c r="E25" i="18" l="1"/>
  <c r="E34" i="18"/>
  <c r="H19" i="18" s="1"/>
  <c r="F14" i="5"/>
  <c r="E17" i="18" s="1"/>
  <c r="H9" i="18" s="1"/>
  <c r="H20" i="18" l="1"/>
  <c r="H40" i="18" s="1"/>
</calcChain>
</file>

<file path=xl/sharedStrings.xml><?xml version="1.0" encoding="utf-8"?>
<sst xmlns="http://schemas.openxmlformats.org/spreadsheetml/2006/main" count="3306" uniqueCount="1369">
  <si>
    <t>MIS CODE</t>
  </si>
  <si>
    <t>COICOP</t>
  </si>
  <si>
    <t>MIS ID</t>
  </si>
  <si>
    <t>Category</t>
  </si>
  <si>
    <t>Item</t>
  </si>
  <si>
    <t>Brand</t>
  </si>
  <si>
    <t>Supplier</t>
  </si>
  <si>
    <t>Unit Price £</t>
  </si>
  <si>
    <t>No. in pack</t>
  </si>
  <si>
    <t>Quantity</t>
  </si>
  <si>
    <t>Lifespan (weeks)</t>
  </si>
  <si>
    <t>Weekly cost</t>
  </si>
  <si>
    <t>Shopping list</t>
  </si>
  <si>
    <t>Comments</t>
  </si>
  <si>
    <t>F: Health</t>
  </si>
  <si>
    <t>Health care</t>
  </si>
  <si>
    <t>F</t>
  </si>
  <si>
    <t>Opticians - glasses</t>
  </si>
  <si>
    <t>Dentists - check up</t>
  </si>
  <si>
    <t>Dentists - treatment</t>
  </si>
  <si>
    <t>Personal care</t>
  </si>
  <si>
    <t>ASDA</t>
  </si>
  <si>
    <t>Paracetamol</t>
  </si>
  <si>
    <t>Cold remedy</t>
  </si>
  <si>
    <t>Plasters</t>
  </si>
  <si>
    <t xml:space="preserve">Savlon antiseptic cream </t>
  </si>
  <si>
    <t>First aid kit</t>
  </si>
  <si>
    <t>Wilko</t>
  </si>
  <si>
    <t>Tesco</t>
  </si>
  <si>
    <t>Tesco Paracetamol Tablets 500Mg 16 Pack</t>
  </si>
  <si>
    <t>Lemsip Cold And Flu Lemon Sachets X 10</t>
  </si>
  <si>
    <t>Tesco Clear Washproof Plasters 40S</t>
  </si>
  <si>
    <t>Savlon Antiseptic Cream 100g</t>
  </si>
  <si>
    <t>Tesco Health Family First Aid Kit. Kit contains: 10 x Washproof Plasters (7.2cm x 1.9cm) 2 x Fabric Dressing Strips (6cm x 10cm) 2 x Sterile Wound Pad (5cm x 5cm) 2 x Sterile Wound Pad (10cm x 10cm) 1 x Stretch Bandage (6cm x 4m) 1 x Crepe Bandage (7.5cm x 2m) 1 x Microporous Tape (1.25cm x 5m) 4 x Antiseptic Wipes 2 x Sterile Adhesive Dressings (5.3cm x 7cm) 2 x Sterile Adhesive Dressings (10cm x 7cm) 6 x Safety Pins Scissors 1 x Pair of Vinyl Gloves First Aid Guidance Leaflet</t>
  </si>
  <si>
    <t>Band 1 (£23.80) includes examination, diagnosis, and scale and polish if needed.</t>
  </si>
  <si>
    <t>E: Household services</t>
  </si>
  <si>
    <t>E2A1</t>
  </si>
  <si>
    <t>Postage</t>
  </si>
  <si>
    <t>Stamps</t>
  </si>
  <si>
    <t>E2A2</t>
  </si>
  <si>
    <t>Telephone</t>
  </si>
  <si>
    <t>Mobile telephone (handset)</t>
  </si>
  <si>
    <t>Tescomobile</t>
  </si>
  <si>
    <t>Mobile telephone (bills)</t>
  </si>
  <si>
    <t>3GB internet data and unlimited minutes. For use with handset above.</t>
  </si>
  <si>
    <t>C: Clothing and footwear</t>
  </si>
  <si>
    <t>Weekly cost £</t>
  </si>
  <si>
    <t xml:space="preserve">Shopping List </t>
  </si>
  <si>
    <t>C</t>
  </si>
  <si>
    <t>Sports Direct</t>
  </si>
  <si>
    <t>Asda</t>
  </si>
  <si>
    <t>Sainsbury's</t>
  </si>
  <si>
    <t>Accessories</t>
  </si>
  <si>
    <t>Amazon</t>
  </si>
  <si>
    <t>D: Housing costs</t>
  </si>
  <si>
    <t>D3</t>
  </si>
  <si>
    <t>Water rates</t>
  </si>
  <si>
    <t>D4</t>
  </si>
  <si>
    <t>N/A</t>
  </si>
  <si>
    <t>Council tax</t>
  </si>
  <si>
    <t>D5</t>
  </si>
  <si>
    <t>Insurance</t>
  </si>
  <si>
    <t>D6</t>
  </si>
  <si>
    <t>Fuel</t>
  </si>
  <si>
    <t>D7</t>
  </si>
  <si>
    <t>House maintenance</t>
  </si>
  <si>
    <t>Decorating and other house maintenance</t>
  </si>
  <si>
    <t>PPens</t>
  </si>
  <si>
    <t>E: Household goods and services</t>
  </si>
  <si>
    <t>E1</t>
  </si>
  <si>
    <t>Hall</t>
  </si>
  <si>
    <t>Lampshade for central light</t>
  </si>
  <si>
    <t>Light bulb</t>
  </si>
  <si>
    <t>Door mat</t>
  </si>
  <si>
    <t>Argos</t>
  </si>
  <si>
    <t>Argos Home Coir Flatweave Doormat - 40 x 60cm - Natural (with non-slip backing)</t>
  </si>
  <si>
    <t>The Range</t>
  </si>
  <si>
    <t>Living area</t>
  </si>
  <si>
    <t xml:space="preserve">Curtains </t>
  </si>
  <si>
    <t>Dunelm</t>
  </si>
  <si>
    <t>Cushions</t>
  </si>
  <si>
    <t>Storage unit</t>
  </si>
  <si>
    <t>Bin</t>
  </si>
  <si>
    <t>B&amp;Q</t>
  </si>
  <si>
    <t>Personalisation</t>
  </si>
  <si>
    <t>Dining area</t>
  </si>
  <si>
    <t>Tablemats</t>
  </si>
  <si>
    <t>Coasters</t>
  </si>
  <si>
    <t>Kitchen</t>
  </si>
  <si>
    <t>Blind</t>
  </si>
  <si>
    <t>Kitchen, tableware</t>
  </si>
  <si>
    <t>Crockery</t>
  </si>
  <si>
    <t>Mugs</t>
  </si>
  <si>
    <t>Cutlery</t>
  </si>
  <si>
    <t>Serving spoons</t>
  </si>
  <si>
    <t>B&amp;M</t>
  </si>
  <si>
    <t>Wine glasses</t>
  </si>
  <si>
    <t>White Salt and Pepper Pots</t>
  </si>
  <si>
    <t>Kitchen, appliances</t>
  </si>
  <si>
    <t>Microwave</t>
  </si>
  <si>
    <t>Fridge freezer</t>
  </si>
  <si>
    <t>Cooker</t>
  </si>
  <si>
    <t>Washing machine</t>
  </si>
  <si>
    <t>Toaster</t>
  </si>
  <si>
    <t>Kettle</t>
  </si>
  <si>
    <t>Hand blender</t>
  </si>
  <si>
    <t>Tower 3-in-1 Hand Blender. Includes stainless steel blade, 600ml beaker, chopping attachment and whisk</t>
  </si>
  <si>
    <t>Kitchen, cookware</t>
  </si>
  <si>
    <t>Saucepans</t>
  </si>
  <si>
    <t>Knives</t>
  </si>
  <si>
    <t>Kitchen, accessories</t>
  </si>
  <si>
    <t>Roasting tin</t>
  </si>
  <si>
    <t>Bun tin</t>
  </si>
  <si>
    <t>Cake tin</t>
  </si>
  <si>
    <t>Colander</t>
  </si>
  <si>
    <t>Sieve</t>
  </si>
  <si>
    <t>Cheese grater</t>
  </si>
  <si>
    <t>Dunelm Silicone Grater</t>
  </si>
  <si>
    <t>Utensils</t>
  </si>
  <si>
    <t>Measuring jug</t>
  </si>
  <si>
    <t>Scales</t>
  </si>
  <si>
    <t>Bottle opener</t>
  </si>
  <si>
    <t>Storage canisters</t>
  </si>
  <si>
    <t>Kitchen, consumables</t>
  </si>
  <si>
    <t>Bin liners</t>
  </si>
  <si>
    <t>George Home Plastic Tray</t>
  </si>
  <si>
    <t>Washing up bowl</t>
  </si>
  <si>
    <t>George Home Recycled Plastic Washing Up Bowl Grey</t>
  </si>
  <si>
    <t>Drainer</t>
  </si>
  <si>
    <t>George Home Recycled Plastic Dish Drainer Grey</t>
  </si>
  <si>
    <t>Kitchen, laundry</t>
  </si>
  <si>
    <t>Fabric conditioner</t>
  </si>
  <si>
    <t>Iron</t>
  </si>
  <si>
    <t>Ironing board</t>
  </si>
  <si>
    <t>Ironing board cover</t>
  </si>
  <si>
    <t>Kitchen, cleaning</t>
  </si>
  <si>
    <t>Vacuum cleaner</t>
  </si>
  <si>
    <t>Dustpan &amp; brush</t>
  </si>
  <si>
    <t>Scouring/sponge pads</t>
  </si>
  <si>
    <t>Springforce Sponge Scourers 8 Pack</t>
  </si>
  <si>
    <t>Kitchen towel</t>
  </si>
  <si>
    <t>Tesco Kitchen Towel 4 Roll</t>
  </si>
  <si>
    <t>Oven gloves</t>
  </si>
  <si>
    <t>Tea towels</t>
  </si>
  <si>
    <t xml:space="preserve">Hand towels </t>
  </si>
  <si>
    <t>Washing up liquid</t>
  </si>
  <si>
    <t>Foil</t>
  </si>
  <si>
    <t>Tesco Kitchen Foil 10M X 290Mm</t>
  </si>
  <si>
    <t>Clingfilm</t>
  </si>
  <si>
    <t>Tesco Antibacterial Multi Purpose Spray 750Ml</t>
  </si>
  <si>
    <t>Rubber gloves</t>
  </si>
  <si>
    <t>Tesco Dishwashing Rubber Gloves (rang of sizes)</t>
  </si>
  <si>
    <t>Bleach</t>
  </si>
  <si>
    <t>Sewing kit</t>
  </si>
  <si>
    <t>Bathroom</t>
  </si>
  <si>
    <t>Medicine cabinet</t>
  </si>
  <si>
    <t>Flannels</t>
  </si>
  <si>
    <t>Bath mat (for floor)</t>
  </si>
  <si>
    <t>Shower curtain</t>
  </si>
  <si>
    <t>Argos Home Shower Curtain - White (hand-washable)</t>
  </si>
  <si>
    <t>Toilet cleaner</t>
  </si>
  <si>
    <t>Toilet brush</t>
  </si>
  <si>
    <t>Tesco Toilet Brush</t>
  </si>
  <si>
    <t>Squeegee</t>
  </si>
  <si>
    <t>Salter Electronic Glass Platform Scales</t>
  </si>
  <si>
    <t>Mattress, double</t>
  </si>
  <si>
    <t>Dreams</t>
  </si>
  <si>
    <t>Mattress protector</t>
  </si>
  <si>
    <t>Wardrobe</t>
  </si>
  <si>
    <t>Drawers</t>
  </si>
  <si>
    <t>Bedside table</t>
  </si>
  <si>
    <t>Lamp</t>
  </si>
  <si>
    <t xml:space="preserve">Duvet </t>
  </si>
  <si>
    <t>Pillows</t>
  </si>
  <si>
    <t>Sheets, fitted</t>
  </si>
  <si>
    <t>Duvet covers</t>
  </si>
  <si>
    <t>Pillow cases</t>
  </si>
  <si>
    <t>Washing liquid</t>
  </si>
  <si>
    <t>DFS</t>
  </si>
  <si>
    <t>Security</t>
  </si>
  <si>
    <t>Locking door chain</t>
  </si>
  <si>
    <t>FG3 added safety chain for door B&amp;Q, 20 years</t>
  </si>
  <si>
    <t>Smith &amp; Locke TT4000 Chrome effect Steel Door chain, (L)195mm</t>
  </si>
  <si>
    <t>Door viewer</t>
  </si>
  <si>
    <t>Smith &amp; Locke Chrome effect Galvanised Brass 200° Door viewer, (Dia)25.9mm</t>
  </si>
  <si>
    <t>Coat hooks</t>
  </si>
  <si>
    <t>Shoe storage</t>
  </si>
  <si>
    <t>Sofabed (2 seater)</t>
  </si>
  <si>
    <t>Side tables</t>
  </si>
  <si>
    <t>Bookcase</t>
  </si>
  <si>
    <t>Table lamp</t>
  </si>
  <si>
    <t>Floor lamp</t>
  </si>
  <si>
    <t>CB4 added in ine with SMP: 2 large serving spoons, Argos, Supermarket. 20 years.</t>
  </si>
  <si>
    <t>George Home York Stainless Steel Serving Spoons</t>
  </si>
  <si>
    <t>Tumblers - tall</t>
  </si>
  <si>
    <t>Cruet</t>
  </si>
  <si>
    <t>Gravy boat</t>
  </si>
  <si>
    <t>George Home White Gravy Boat</t>
  </si>
  <si>
    <t>Napkins</t>
  </si>
  <si>
    <t>Tesco Napkins White 33Cm 2Ply 50 Pack</t>
  </si>
  <si>
    <t>Currys</t>
  </si>
  <si>
    <t>Slow cooker</t>
  </si>
  <si>
    <t>Joseph Joseph Duo 5 Piece Knife Block Set - Multicoloured</t>
  </si>
  <si>
    <t>Knife sharpener</t>
  </si>
  <si>
    <t xml:space="preserve"> FG3 confirmed 15 years in line with knife set. </t>
  </si>
  <si>
    <t>Baking sheet</t>
  </si>
  <si>
    <t>Loaf tin</t>
  </si>
  <si>
    <t>George Home Stainless Steel Colander</t>
  </si>
  <si>
    <t>George Home Stainless Steel Sieve</t>
  </si>
  <si>
    <t>Casserole dish</t>
  </si>
  <si>
    <t>Pyrex 3 Piece Clear Casserole Set</t>
  </si>
  <si>
    <t>Lasagne dish</t>
  </si>
  <si>
    <t>Pyrex Glass Dish With Lid 1.5L</t>
  </si>
  <si>
    <t>Argos Home Silicone 8 Piece Utensil Set - Black. Includes                               Utensil caddy.
Serving spoon.
Slotted turner.
Spatula.
Slotted masher.
Whisk.
Pastry brush, Icing spreader.</t>
  </si>
  <si>
    <t>Wooden spoons</t>
  </si>
  <si>
    <t>George Home Wooden Spoon</t>
  </si>
  <si>
    <t>George Home Corkscrew - with built-in bottle opener</t>
  </si>
  <si>
    <t>TIn opener</t>
  </si>
  <si>
    <t>George Home Black Electric Can Opener</t>
  </si>
  <si>
    <t>Peeler</t>
  </si>
  <si>
    <t>George Home Plastic Peeler</t>
  </si>
  <si>
    <t>Pyrex Measuring Jug</t>
  </si>
  <si>
    <t>George Home White Digital Scale</t>
  </si>
  <si>
    <t>Batteries</t>
  </si>
  <si>
    <t xml:space="preserve">Batteries for scales and bedroom clocks. Replaced how often? Lifetime set to 2 years for now. CB4 changed: £15 budget per year to cover all batteries </t>
  </si>
  <si>
    <t>Mixing bowls</t>
  </si>
  <si>
    <t>Pyrex 3 Piece Glass Bowl Set</t>
  </si>
  <si>
    <t>Chopping board</t>
  </si>
  <si>
    <t>Plastic Chopping Boards</t>
  </si>
  <si>
    <t>Grey Silicone Double Oven Glove</t>
  </si>
  <si>
    <t>Tesco 30 pedal bin liners 22L</t>
  </si>
  <si>
    <t>Storage containers</t>
  </si>
  <si>
    <t>IKEA PRUTA Plastic Container / Food Storage Containers 17 Piece Set (Ikea set sold on Amazon)</t>
  </si>
  <si>
    <t>Tray table approx £10, Argos, 20 years. CB4 changed to two plastic trays.</t>
  </si>
  <si>
    <t>Set Of 3 Tea, Coffee &amp; Sugar Canister - Cream. Range of colours.</t>
  </si>
  <si>
    <t>Kitchen towel holder</t>
  </si>
  <si>
    <t>Tuscan Bamboo Kitchen Roll Holder - Grey</t>
  </si>
  <si>
    <t>ASDA Sensitive Non-Bio Liquid 40 Washes</t>
  </si>
  <si>
    <t>ASDA Sensitive Pure Cotton Fabric Softener 74 washes</t>
  </si>
  <si>
    <t>Soda crystals</t>
  </si>
  <si>
    <t>Dri Pak Soda Crystals (1 kg). Product recommends 1 Tablespoon (20g) in wash to soften water. 1000g/20g=50 weeks</t>
  </si>
  <si>
    <t>Airer</t>
  </si>
  <si>
    <t>Wileda 3 tier airer 15M</t>
  </si>
  <si>
    <t>Over radiator airer</t>
  </si>
  <si>
    <t>Addis Radiator Airer. NB: 4 provided as sold in packs of 2. Checked elsewhere and couldn't find 3 pack.</t>
  </si>
  <si>
    <t>Russell Hobbs Wrap and Clip Easy Store Steam Iron </t>
  </si>
  <si>
    <t>Habitat Medium 110x34cm Ironing Board</t>
  </si>
  <si>
    <t>Argos Home Medium 110x34cm Ironing Board Cover</t>
  </si>
  <si>
    <t>Washing basket</t>
  </si>
  <si>
    <t>Washing basket to carry the laundry to machine, 10 years. Wilko/Argos</t>
  </si>
  <si>
    <t>Strata 60 Litre Flexible Laundry Basket</t>
  </si>
  <si>
    <t>Laundry pegs</t>
  </si>
  <si>
    <t>Wilko Multicoloured Snapper Pegs 36 pack</t>
  </si>
  <si>
    <t>Spray mop</t>
  </si>
  <si>
    <t>Addis Spray Mop with machine washable microfibre mop head</t>
  </si>
  <si>
    <t>Mop head</t>
  </si>
  <si>
    <t>Spray Mop Refill</t>
  </si>
  <si>
    <t>Wilko Long Handled Dustpan and Brush Set</t>
  </si>
  <si>
    <t>Dish cloths</t>
  </si>
  <si>
    <t>Savers</t>
  </si>
  <si>
    <t>Elbow Grease Power Cloths 7 pack</t>
  </si>
  <si>
    <t>George Home Tea Towels 5pk</t>
  </si>
  <si>
    <t>Fairy Original Washing Up Liquid Green with LiftAction 780ml</t>
  </si>
  <si>
    <t>Multi-surface spray</t>
  </si>
  <si>
    <t>Disinfectant</t>
  </si>
  <si>
    <t>Zoflora Linen Fresh Concentrated Disinfectant 500Ml</t>
  </si>
  <si>
    <t>Tesco Thick Bleach Citrus 2 Litre Bigger Pack Better Value</t>
  </si>
  <si>
    <t>Descaler</t>
  </si>
  <si>
    <t>Oust All Purpose Descaler 3-pk</t>
  </si>
  <si>
    <t xml:space="preserve">Scourers </t>
  </si>
  <si>
    <t>Tesco Pan Scourers 5 pack</t>
  </si>
  <si>
    <t>Cling Film 350mm x 40m</t>
  </si>
  <si>
    <t>Household maintenance</t>
  </si>
  <si>
    <t>Tool kit</t>
  </si>
  <si>
    <t>FG3 added 1 tool kit. Lifetime of 20 years in line with 2018 groups.</t>
  </si>
  <si>
    <t>Guild 40 Piece Stubby Hand Tool Kit</t>
  </si>
  <si>
    <t>Cheapest sewing kit from Argos, B+M, Wilko. 5 years</t>
  </si>
  <si>
    <t>Korbond Sewing Kit in Case. Includes: 1 pair of scissors 1 analogue tape measure 1 thimble 1 needle threader 2 needles 2 dressmaker pins 2 safety pins 3 pearl buttons 1m hemming web, a selection of sewing threads</t>
  </si>
  <si>
    <t>Shoe polish</t>
  </si>
  <si>
    <t xml:space="preserve">FG3 added supermarket shoe polish lasting 5 years </t>
  </si>
  <si>
    <t>Kiwi Black Shoe Polish 100ml</t>
  </si>
  <si>
    <t>Bath sheets</t>
  </si>
  <si>
    <t>Egyptian Cotton Bath Sheet (range of colours)</t>
  </si>
  <si>
    <t>Egyptian Cotton Hand Towel (range of colours)</t>
  </si>
  <si>
    <t>Face Cloth (range of colours)</t>
  </si>
  <si>
    <t>George Home Rubber Backed Bath Mat Charcoal</t>
  </si>
  <si>
    <t xml:space="preserve">Non-slip bathmat </t>
  </si>
  <si>
    <t>George Home Rubber Bath Mat</t>
  </si>
  <si>
    <t>Laundry basket</t>
  </si>
  <si>
    <t>For collecting dirty washing. From Wilko or Argos. Lasting 15 years. CB4 reduced lifetime to 10 years</t>
  </si>
  <si>
    <t>Argos Home Pop Up Laundry Bin - Dove Grey. 53 litre capacity</t>
  </si>
  <si>
    <t>Magnifying mirror</t>
  </si>
  <si>
    <t>Danielle Creations Chrome Beauty Mirror</t>
  </si>
  <si>
    <t>Wilko Window and Shower Squeegee</t>
  </si>
  <si>
    <t>Tesco Active Toilet Gel Citrus 750ML</t>
  </si>
  <si>
    <t>Shower spray</t>
  </si>
  <si>
    <t>Tesco Daily Shower Cleaning Spray 750ml</t>
  </si>
  <si>
    <t>Small pedal bin from Wilko. Lasting 20 years. CB4 specified plastic pedal bin, not metal. FG3 changed to metal pedal bin but reduced lifetime to 5 years</t>
  </si>
  <si>
    <t>Wilko Small White Pedal Bin</t>
  </si>
  <si>
    <t>Pedal bin liners. 1 bin liner used every week.</t>
  </si>
  <si>
    <t>Wilko Pedal Bin Liners 50 pack</t>
  </si>
  <si>
    <t>Headboard</t>
  </si>
  <si>
    <t>Silentnight Heaton Pocket Sprung Mattress</t>
  </si>
  <si>
    <t>Mirror</t>
  </si>
  <si>
    <t>Essentials Full Length Mirror 122x32cm Black</t>
  </si>
  <si>
    <t>Chair</t>
  </si>
  <si>
    <t>Astrid Chair</t>
  </si>
  <si>
    <t>All Seasons Combi Duvet. Comes with 4.5 and 10.5 tog duvets which clip together to make 15 tog.</t>
  </si>
  <si>
    <t>Fogarty Duck Feather and Down Medium-Support Pillow Pair</t>
  </si>
  <si>
    <t>Sheets, flat</t>
  </si>
  <si>
    <t>George Home Mattress Protector Double</t>
  </si>
  <si>
    <t>Pillow protectors</t>
  </si>
  <si>
    <t>Pillow Protector Pair</t>
  </si>
  <si>
    <t xml:space="preserve">Electric blanket </t>
  </si>
  <si>
    <t>Silentnight Comfort Control Electric Blanket</t>
  </si>
  <si>
    <t>Carpet</t>
  </si>
  <si>
    <t>Carpetright</t>
  </si>
  <si>
    <t>Garden</t>
  </si>
  <si>
    <t>Trays</t>
  </si>
  <si>
    <t>CB4 added washable spray mop refill replaced every 2 years</t>
  </si>
  <si>
    <t>CB4 added in line with singles: Spy hole, 20 years.</t>
  </si>
  <si>
    <t>Homebase</t>
  </si>
  <si>
    <t>Standard Hat &amp; Coat Hook - 6 Hooks</t>
  </si>
  <si>
    <t xml:space="preserve">Living area </t>
  </si>
  <si>
    <t>Sofa (3 seater)</t>
  </si>
  <si>
    <t>Salt and pepper cruet. 20 years. Argos/Amazon/Ikea/supermarket/Dunelm.</t>
  </si>
  <si>
    <t>CB4 added in line wth singles: Ceramic gravy boat, Argos, Supermarket, 20 years</t>
  </si>
  <si>
    <t>Paper napkins. Cheap pack of 100. Lasting 1 year</t>
  </si>
  <si>
    <t>Multi-purpose hand blender with whisk attachment, Supermarket, Argos, The Range, B+M, 10 years</t>
  </si>
  <si>
    <t>Knife set approx. £50-60, Argos, The Range, 35 years. CB4 reduced lifetime to 15 years</t>
  </si>
  <si>
    <t>CB4 added loaf tin in line with singles, lasting 5 years</t>
  </si>
  <si>
    <t xml:space="preserve">Grater with tub and lid attachment, 1 up from bottom quality, Supermarket, Argos, The Range, B+M, 20 years. FG3 increased quality - silicone base and handle </t>
  </si>
  <si>
    <t>Metal colander, Supermarket, Argos, The Range,B+M, 35 years</t>
  </si>
  <si>
    <t xml:space="preserve">CB4 added in line with singles: 15 years.  </t>
  </si>
  <si>
    <t>Set of 3 pyrex casserole dishes, different sizes, Supermarket, Argos, The Range, B+M, 35 years</t>
  </si>
  <si>
    <t xml:space="preserve">Cb4 added in line with singles: 1 needed. 15 years. </t>
  </si>
  <si>
    <t>Silicone utensil set, cheapest ok, Supermarket, Argos, 10 years</t>
  </si>
  <si>
    <t xml:space="preserve">CB4 added in line with singles: 3 spoons, lasting 2 years. </t>
  </si>
  <si>
    <t>CB4 added in line with singles: 1 needed.  4 years.</t>
  </si>
  <si>
    <t>Battery operated tin opener, Supermarket, Argos, The Range, B+M, 20 years. CB4 reduced lifetime to 6 years</t>
  </si>
  <si>
    <t>Cheap peeler, Supermarket, Argos, The Range, B+M, 2 years</t>
  </si>
  <si>
    <t>Pyrex jug, Supermarket, Argos, The Range, B+M, 35 years</t>
  </si>
  <si>
    <t>Digital scales, cheapest ok, Supermarket, Argos, The Range, B+M, 20 years, plus battery</t>
  </si>
  <si>
    <t>Set of pyrex or equivalent glass bowls, Supermarket, Argos, The Range, B+M, 35 years</t>
  </si>
  <si>
    <t>CB4  added in line with singles: silicone oven gloves. Lasting 5 years.</t>
  </si>
  <si>
    <t>1 per week. CB4 said change every 2 days</t>
  </si>
  <si>
    <t>Plastic drainer, Supermarket, 2 years</t>
  </si>
  <si>
    <t>Plastic washing up bowl, Supermarket, 2 years</t>
  </si>
  <si>
    <t>Set of plastic tubs with press on lids, Supermarket, Argos, Home Bargains, 10 years. CB4 changed to IKEA 17-piece set, 5 years</t>
  </si>
  <si>
    <t>CB4 added in line with singles: For tea, coffee, sugar. No other details discussed. Lifetime set to 5 years for now. CB3 changed lifetime to 10 years</t>
  </si>
  <si>
    <t xml:space="preserve">FG3 added for couples in line with singles: Freestanding holder for kitchen roll. CB3 said it would last 10 years. </t>
  </si>
  <si>
    <t>5 loads per fortnight</t>
  </si>
  <si>
    <t xml:space="preserve">CB4 added in line with singles: For laundry and washing machine maintanence. Used for one wash per week. </t>
  </si>
  <si>
    <t>Cheap concertina airer, Argos, The Range, B+M, 5 years. CB4 increased lifetime to 15 years in line with singles</t>
  </si>
  <si>
    <t xml:space="preserve">Over radiator airers, Argos, The Range, B+M, 5 years. CB4 said 4 needed and changed lifetime to 15 years </t>
  </si>
  <si>
    <t>Steam iron, approx. £25, Supermarket, Argos, The Range, B+M, 5 years</t>
  </si>
  <si>
    <t>Sturdy ironing board, 1 or 2 up the range, Argos, Supermarket, 35 years. Cb4 changed to 15 years in line with singles</t>
  </si>
  <si>
    <t>Thermal ironing board cover, Argos, Supermarket, replaced every 2 years</t>
  </si>
  <si>
    <t>CB4 added in line with singles: Pegs to hang clothes to dry. 24 pegs lasting 3 years.</t>
  </si>
  <si>
    <t>Mop handle to use with disposable wipes/cloths. Lifetime not discussed. Lifetime set to 1 year for now. CB4 changed to cheaper spray mop, 5 years</t>
  </si>
  <si>
    <t>Cheap dust pan and brush, B&amp;Q, 5 years.  Cb4 changed to long-handled dustpan and brush, 5 years</t>
  </si>
  <si>
    <t>2 pack replaced every 3 weeks</t>
  </si>
  <si>
    <t>One pack of microfibre dish clothes every 3 months. Cb4 suggested 7-pack of cloths on a roll (such as Elbow Grease). Washable. Lasting 1 year</t>
  </si>
  <si>
    <t>CB4 added in line with singles: 1 year and 5-pack okay</t>
  </si>
  <si>
    <t>1 bottle of Fairy Liquid replaced every 6 weeks.</t>
  </si>
  <si>
    <t>Kitchen floor cleaner e.g. Flash. CB4 changed to disinfectant e.g. Zoflora. 6 months</t>
  </si>
  <si>
    <t>1 litre bottle of bleach per week for kitchen and bathroom. CB4 said 1 month for kitchen</t>
  </si>
  <si>
    <t>Sponge scourers, replace pack every 6 weeks. CB4 said 1 sponge per week</t>
  </si>
  <si>
    <t>Scourers, replace pack every 6 months. CB4 said 1 per week</t>
  </si>
  <si>
    <t>Foil 10m roll, replace every 3 months</t>
  </si>
  <si>
    <t>Rubber gloves, replace 4 times per year</t>
  </si>
  <si>
    <t>CB4 added in line with singles: From Wilko/supermarket. Lasting 1 year.</t>
  </si>
  <si>
    <t>CB4 added in line with singles: From Asda/Primark/Dunelm. Lasting 5 years.</t>
  </si>
  <si>
    <t>CB4 added in line with singles: Non slip bathmat for inside the bath/shower, 2 years</t>
  </si>
  <si>
    <t>CB4 added in line with singles: 2 washable Shower curtains, one to have up while one in the wash, 4 years.</t>
  </si>
  <si>
    <t>CB4 added in line with singles: Magnifying mirror for applying make up etc. cheapest ok, Wilko/Argos/supermarket/JL/B+Q, 20 years. CB4 reduced lifetime to 5 years</t>
  </si>
  <si>
    <t xml:space="preserve">CB4 added in line with singles. From supermarket/Boots. No other info discussed. Lifetime set to 10 years for now. CB3 changed lifetime to 20 years. CB4 confirmed 20 years. </t>
  </si>
  <si>
    <t>CB4 added in line with singles: From Wilkos. Lasting 1 year.</t>
  </si>
  <si>
    <t xml:space="preserve">From Wilko/supermarket. Replaced every month. </t>
  </si>
  <si>
    <t>CB4 said 2 weeks for bathroom</t>
  </si>
  <si>
    <t xml:space="preserve">CB4 added in line with singles:From Wilko/supermarket. Replaced every 2 months. </t>
  </si>
  <si>
    <t>Bedroom 1</t>
  </si>
  <si>
    <t xml:space="preserve">CB4 added in line with singles: Full length mirror, cheap, Dunelm, 30 years. CB3 changed lifetime to 20 years in line with SFP. </t>
  </si>
  <si>
    <t>CB4 added in line with singles: wooden chair from Dunelm/Dreams. Mid-mid quality, lasting 20 years</t>
  </si>
  <si>
    <t>Combined, clip-together winter and summer duvets. Mid-range. Approx. 4 and 10.5 tog. Lasting 20 years. CB4 reduced lifetime to 8 years in line with singles</t>
  </si>
  <si>
    <t xml:space="preserve">Four needed. Mid-range synthetic filling from Tesco, The Range, Asda, Dunelm. Lasting 10 years. CB4 reduced ilfetime to 4 years in line with singles. </t>
  </si>
  <si>
    <t>2 needed. From Tesco, The Range, Asda, Dunelm. Lasting 5 years. CB4 changed to 4 years in line with singles</t>
  </si>
  <si>
    <t xml:space="preserve">CB4 added in line with singles: 8 pillow protectors needed, cheap ok, Dunelm, Supermarket. CB3 changed lifetime to 4 years. </t>
  </si>
  <si>
    <t>Added but no other info provided. CB4 said 10 years.</t>
  </si>
  <si>
    <t>Bedroom 2</t>
  </si>
  <si>
    <t>Double bed</t>
  </si>
  <si>
    <t>Mattress</t>
  </si>
  <si>
    <t>Single wardrobe</t>
  </si>
  <si>
    <t>Same quality as bedroom 1: From Ikea/Argos/B&amp;Q/Wayfair/online. Cheapest 'sturdy'. 20 years CB4 increased lifetime to 40 years</t>
  </si>
  <si>
    <t xml:space="preserve">Habitat Atlas 1 Door Wardrobe - White Gloss. </t>
  </si>
  <si>
    <t>Chest height and same quality as bedroom 1: From Ikea/Argos/B&amp;Q/Wayfair/online. Lasting 20 years. CB4 increased lifetime to 40 years</t>
  </si>
  <si>
    <t xml:space="preserve">Ashdown 5 Drawer Chest - White. Fully assembled </t>
  </si>
  <si>
    <t>2 needed. Same quality as bedroom 1: from Ikea/Argos/B&amp;Q/Wayfair/online. Lasting 20 years. CB4 increased lifetime to 40 years</t>
  </si>
  <si>
    <t>Ashdown 3 Drawer Bedside Table - White. Fully assembled</t>
  </si>
  <si>
    <t>4 needed. Same quality as bedroom 1: Mid-range synthetic filling from Tesco, The Range, Asda, Dunelm. Lasting 10 years. Lasting 10 years. CB4 reduced lifetime to 8 years</t>
  </si>
  <si>
    <t xml:space="preserve">1 mattress protector, same quality as bedroom 1: From Tesco, The Range, Asda, Dunelm.  Lasting 20 years. CB4 reduced lifetime to 8 years. </t>
  </si>
  <si>
    <t>F: Personal goods and services</t>
  </si>
  <si>
    <t>Hairdryer</t>
  </si>
  <si>
    <t>Toilet roll</t>
  </si>
  <si>
    <t>Andrex Classic Clean Toilet Tissue 4 Rolls</t>
  </si>
  <si>
    <t>Simple Kind To Skin Refreshing Shower Gel 500Ml</t>
  </si>
  <si>
    <t>Aquafresh Fresh and Minty Toothpaste 75ml</t>
  </si>
  <si>
    <t>Mouthwash</t>
  </si>
  <si>
    <t>Listerine Spearmint Mouthwash 250Ml</t>
  </si>
  <si>
    <t>Comb</t>
  </si>
  <si>
    <t>Leo Bancroft Pocket Comb</t>
  </si>
  <si>
    <t xml:space="preserve">Liquid soap </t>
  </si>
  <si>
    <t>Palmolive Liquid Handwash Aquarium 300Ml</t>
  </si>
  <si>
    <t>Nivea Sun Protect and Moisture Sun Cream Spray SPF 50 200ml</t>
  </si>
  <si>
    <t>Tweezers</t>
  </si>
  <si>
    <t>Superdrug</t>
  </si>
  <si>
    <t>Perfume</t>
  </si>
  <si>
    <t>Olay Complete Care Day Cream Moisturiser Sensitive Spf 15 50Ml</t>
  </si>
  <si>
    <t>Umbrella</t>
  </si>
  <si>
    <t>Shower gel</t>
  </si>
  <si>
    <t>Xprt. For Men Stimulating Shower Gel 300Ml</t>
  </si>
  <si>
    <t>Razor</t>
  </si>
  <si>
    <t>Gillette Mach3 Razor For Men. With 2 blades</t>
  </si>
  <si>
    <t>Razor blades</t>
  </si>
  <si>
    <t xml:space="preserve">Gillette Mach 3 Blades 4S. 4 pk </t>
  </si>
  <si>
    <t>Toothpaste</t>
  </si>
  <si>
    <t>Toothbrush</t>
  </si>
  <si>
    <t>Sun cream</t>
  </si>
  <si>
    <t>Deodorant</t>
  </si>
  <si>
    <t>Right Guard Xtreme Silver Fresh Blast Antiperspirant Deodorant 150Ml</t>
  </si>
  <si>
    <t>Shampoo</t>
  </si>
  <si>
    <t>Alberto Balsam Tea Tree Tingle Shampoo 350Ml</t>
  </si>
  <si>
    <t>Shockwaves Ultra Strong Power Hold Gel 200Ml</t>
  </si>
  <si>
    <t>Personal care, female</t>
  </si>
  <si>
    <t>Hairdressing, female</t>
  </si>
  <si>
    <t>Boots</t>
  </si>
  <si>
    <t xml:space="preserve">Hand soap dispenser. Replaced monthly. CB3 said 1 for kitchen and 1 for bathroom. </t>
  </si>
  <si>
    <t>Tena Lady</t>
  </si>
  <si>
    <t xml:space="preserve">Tena Lady two per day </t>
  </si>
  <si>
    <t>Tena Lady Discreet Mini 20S</t>
  </si>
  <si>
    <t>1 large (approx. 450ml) bottle every month. From supermarket/Superdrug/Boots</t>
  </si>
  <si>
    <t xml:space="preserve">CB4 added pack of disposable razors. 4-pk lasting 6 months. </t>
  </si>
  <si>
    <t xml:space="preserve">Gillette Simply Venus 2 Blade Disposable Razors 4 Pack. </t>
  </si>
  <si>
    <t>Shaving foam</t>
  </si>
  <si>
    <t>Tesco Essentials Shaving Foam 250Ml</t>
  </si>
  <si>
    <t>Personal care, male</t>
  </si>
  <si>
    <t>Mouthwash, replace monthly</t>
  </si>
  <si>
    <t>Interdental brushes</t>
  </si>
  <si>
    <t>Interdental care brushes, one per day</t>
  </si>
  <si>
    <t>Pro Care Soft Interdental Brush 30pk</t>
  </si>
  <si>
    <t>1 tube of toothpaste every month. From supermarket/Superdrug/Boots.</t>
  </si>
  <si>
    <t>Denture tablets</t>
  </si>
  <si>
    <t>Denture tablet cleaner (presume would use one per day?). CB3 confirmed 1 used per day.</t>
  </si>
  <si>
    <t>Pro-Formula Denture Tablets 30 Pack</t>
  </si>
  <si>
    <t>Tooth mug</t>
  </si>
  <si>
    <t xml:space="preserve">Tumbler to hold dentures, lifetime? CB3 said tumbler would last 2 years. </t>
  </si>
  <si>
    <t>George Home Charcoal Bathroom Tumbler</t>
  </si>
  <si>
    <t>Replaced monthly. From supermarket/Superdrug/Boots</t>
  </si>
  <si>
    <r>
      <rPr>
        <sz val="8"/>
        <rFont val="Arial"/>
        <family val="2"/>
      </rPr>
      <t>Sure Women Invisible Aqua Anti-perspirant Deodorant Aerosol 150m</t>
    </r>
    <r>
      <rPr>
        <sz val="8"/>
        <color theme="0" tint="-0.34998626667073579"/>
        <rFont val="Arial"/>
        <family val="2"/>
      </rPr>
      <t>l</t>
    </r>
  </si>
  <si>
    <t>Talcum powder</t>
  </si>
  <si>
    <t>Replace every 3 months</t>
  </si>
  <si>
    <t>Johnsons baby Powder 200g</t>
  </si>
  <si>
    <t>Sponge</t>
  </si>
  <si>
    <t>One sponge would last 1 month</t>
  </si>
  <si>
    <t>Tesco Essentials Soft Sponges 2 Pack</t>
  </si>
  <si>
    <t>Dove Intensive Repair Shampoo 400Ml</t>
  </si>
  <si>
    <t>Conditioner</t>
  </si>
  <si>
    <t>Dove Intensive Repair Conditioner 350Ml</t>
  </si>
  <si>
    <t>Hair products</t>
  </si>
  <si>
    <t>CB4 added £10 every 2 months as a budget to cover hair products such as hair spray, hair oils etc.</t>
  </si>
  <si>
    <t>Hand lotion</t>
  </si>
  <si>
    <t>Nivea Hand Cream Protective Care Beeswax 75Ml</t>
  </si>
  <si>
    <t>Body lotion</t>
  </si>
  <si>
    <t>1 large (approx. 450ml) bottle. Replaced monthly. From supermarket/Superdrug/Boots</t>
  </si>
  <si>
    <t>Tesco Extracts Cocoa Butter Body Lotion 400Ml</t>
  </si>
  <si>
    <t>Face cream</t>
  </si>
  <si>
    <t>Such as Olay. Replaced monthly. From supermarket/Superdrug/Boots</t>
  </si>
  <si>
    <t>Lasting 1 year. From supermarket/Superdrug/Boots</t>
  </si>
  <si>
    <t>Brush</t>
  </si>
  <si>
    <t xml:space="preserve"> Mid-range hair brush. From supermarket/Superdrug/Boots. Lasting 5 years.</t>
  </si>
  <si>
    <t>Leo Bancroft Vented Brush Gold Label</t>
  </si>
  <si>
    <t>Cb4 added pair of tweezers, 10 years</t>
  </si>
  <si>
    <t>Included in manicure set</t>
  </si>
  <si>
    <t>Back brush</t>
  </si>
  <si>
    <t>From Wilko. Lasting 5 years. CB3 changed lifetime to 3 years.</t>
  </si>
  <si>
    <t>Superdrug White Plastic Brush</t>
  </si>
  <si>
    <t>Manicure set</t>
  </si>
  <si>
    <t>Nail clipper set, including scissors, 20 years. CB3 changed lifetime to 10 years.</t>
  </si>
  <si>
    <t>Manicure set. Includes a slant tweezer, nail file, nail clipper, scissors and cuticle pusher for nice neat nails.</t>
  </si>
  <si>
    <t>Cosmetics</t>
  </si>
  <si>
    <t>Suitcases</t>
  </si>
  <si>
    <t>Go Explore 2 Piece Soft 2 Wheeled Luggage Set - Blue. Two sizes: H67, W20, D43.5cm (55L) and H45.5, W16, D34cm (23L)</t>
  </si>
  <si>
    <t>Backpack</t>
  </si>
  <si>
    <t>CB4 added one backpack. Sports Direct/Argos. Cheapest okay, 4 years.</t>
  </si>
  <si>
    <t>Rockport backpack (range of colours)</t>
  </si>
  <si>
    <t>Foldaway umbrella. Lasting 2 years.</t>
  </si>
  <si>
    <t>Wilko Crook Umbrella Assorted</t>
  </si>
  <si>
    <t>Tena pads</t>
  </si>
  <si>
    <t>Tena Men Pads 10 Pack</t>
  </si>
  <si>
    <t>Shower gel, replace monthly</t>
  </si>
  <si>
    <t>Razor with changeable blades. Handle lasts 5 years.</t>
  </si>
  <si>
    <t>1 blade per week</t>
  </si>
  <si>
    <t>Shaving foam, replace every 2 months</t>
  </si>
  <si>
    <t>1 tube of toothpaste every month</t>
  </si>
  <si>
    <t>Replace monthly.</t>
  </si>
  <si>
    <t>Hair gel</t>
  </si>
  <si>
    <t>Hand and body lotion</t>
  </si>
  <si>
    <t>Moisturiser for hands and body, Dove brand, 6 months</t>
  </si>
  <si>
    <t>Dove Intensive Nourishment Body Lotion 400Ml</t>
  </si>
  <si>
    <t>Comb, 20 years. CB3 changed lifetime to 10 years.</t>
  </si>
  <si>
    <t xml:space="preserve"> Mid-range hair brush. From supermarket/Superdrug/Boots. Lasting 5 years. </t>
  </si>
  <si>
    <t>Aftershave</t>
  </si>
  <si>
    <t>CB4 added rucksack. Chespest okay, 4 years</t>
  </si>
  <si>
    <t>Rockport bacpack (range of colours)</t>
  </si>
  <si>
    <t>Personal care, household</t>
  </si>
  <si>
    <t>1 toilet roll per week. CB3 changed to 2 rolls per week. CB4 changed to 4 rolls replaced weekly for couples</t>
  </si>
  <si>
    <t xml:space="preserve">CB4 added shaving foam for women in line with men. Lifetime not discussed. 2 months for now in line with SMP. FG3 said 6 months </t>
  </si>
  <si>
    <t>Hairdressing, male</t>
  </si>
  <si>
    <t xml:space="preserve">CB4 added incontinence pads in line with SFP. Lifetime not discussed. 2 per day in line with SFP for now. FG3 confirmed 2 per day. </t>
  </si>
  <si>
    <t>Cb4 added pair of rweezers, 10 years</t>
  </si>
  <si>
    <t>CB4 added in line with SFP: 1 large suitcase on wheels. From supermarket or Argos. Cheapest okay. Lifetime not discussed. Set to 10 years for now. CB4 said 20 years. Added for men and women</t>
  </si>
  <si>
    <t>Accessories, female</t>
  </si>
  <si>
    <t>Accessories male</t>
  </si>
  <si>
    <t>G: Transport</t>
  </si>
  <si>
    <t>Passenger transport by road</t>
  </si>
  <si>
    <t>Taxi fares</t>
  </si>
  <si>
    <t>Rail fares</t>
  </si>
  <si>
    <t>G</t>
  </si>
  <si>
    <t>Passenger transport by railway</t>
  </si>
  <si>
    <t>Bus Pass</t>
  </si>
  <si>
    <t>Free bus pass</t>
  </si>
  <si>
    <t>Rail card</t>
  </si>
  <si>
    <t>National Rail</t>
  </si>
  <si>
    <t>Senior Railcard. £70 for 3 years (all rail fares a third off)</t>
  </si>
  <si>
    <t>Senior Rail Card (3 years)</t>
  </si>
  <si>
    <t>H: Social and cultural participation</t>
  </si>
  <si>
    <t>H1</t>
  </si>
  <si>
    <t>Leisure goods</t>
  </si>
  <si>
    <t>TV</t>
  </si>
  <si>
    <t>Laptop</t>
  </si>
  <si>
    <t>Gifts - Xmas</t>
  </si>
  <si>
    <t xml:space="preserve">Gifts for others </t>
  </si>
  <si>
    <t>Gifts - Birthdays</t>
  </si>
  <si>
    <t>Christmas decorations</t>
  </si>
  <si>
    <t>Stationery</t>
  </si>
  <si>
    <t>Charities</t>
  </si>
  <si>
    <t>Donations</t>
  </si>
  <si>
    <t>Smart speaker</t>
  </si>
  <si>
    <t>Amazon Echo Dot Smart Speaker with Alexa - Black</t>
  </si>
  <si>
    <t>Gifts - Other</t>
  </si>
  <si>
    <t>Other recreational items</t>
  </si>
  <si>
    <t>Newspapers, books and stationery</t>
  </si>
  <si>
    <t>budget for stationery: £15 per year per household</t>
  </si>
  <si>
    <t>TV licence</t>
  </si>
  <si>
    <t>BBC</t>
  </si>
  <si>
    <t>costs £159/year. If paying monthly you have to pay first year within six months and then can move to monthly payments for subsequent years</t>
  </si>
  <si>
    <t>H3</t>
  </si>
  <si>
    <t>Internet</t>
  </si>
  <si>
    <t>Entertainment and recreation</t>
  </si>
  <si>
    <t>TV subscription</t>
  </si>
  <si>
    <t>Netflix</t>
  </si>
  <si>
    <t>Activities</t>
  </si>
  <si>
    <t>H6</t>
  </si>
  <si>
    <t>Leisure services</t>
  </si>
  <si>
    <t>Passport</t>
  </si>
  <si>
    <t>Holiday</t>
  </si>
  <si>
    <t xml:space="preserve">Costed as paper application from the post office </t>
  </si>
  <si>
    <t>Photographs</t>
  </si>
  <si>
    <t>Tesco Max Spielmann</t>
  </si>
  <si>
    <t>photo booth £6 (costed at Max Spielmann at Tesco)</t>
  </si>
  <si>
    <t>Spending money</t>
  </si>
  <si>
    <t>Landline telephone</t>
  </si>
  <si>
    <t>CB4 added £10 per month per household as budget to cover all postage needs.</t>
  </si>
  <si>
    <t>Opticians- check up</t>
  </si>
  <si>
    <t xml:space="preserve">Free NHS eye tests for people aged 60 and over. </t>
  </si>
  <si>
    <t>Specsavers - varifocals start from £39 (if selecting frames £69-£169 plus varifocal lenses from £49 then get second pair for free so total £118). A budget of £200 would give the Ppens more choice.</t>
  </si>
  <si>
    <t>Two check ups per year with NHS dentist</t>
  </si>
  <si>
    <t>Band 3 (£282.80). includes bridges, crowns, dentures, inlays/onlays, non-cosmetic veneers.</t>
  </si>
  <si>
    <t>Podiatry</t>
  </si>
  <si>
    <t>Cough mixture</t>
  </si>
  <si>
    <t>Tesco Health+ Chesty Cough Relief 300Ml</t>
  </si>
  <si>
    <t>Eye wash</t>
  </si>
  <si>
    <t>Optrex Multi Action Eye Wash 100Ml</t>
  </si>
  <si>
    <t>Eye drops</t>
  </si>
  <si>
    <t>Optrex Refreshing Eye Drops 10ml</t>
  </si>
  <si>
    <t>Thermometer</t>
  </si>
  <si>
    <t>Superdrug Flexi Tip Digital Thermometer</t>
  </si>
  <si>
    <t>First aid kit - replace every year. CB3 changed lifetime to 2 years.</t>
  </si>
  <si>
    <t>1 treatment per year each. Low band, e.g. filling/extraction. CB4 changed to band 3 treatment per person every 5 years</t>
  </si>
  <si>
    <t xml:space="preserve">2 check-ups per year per person. </t>
  </si>
  <si>
    <t>1 band 3 treatment per person every 5 years.</t>
  </si>
  <si>
    <t xml:space="preserve">£30 for visit to chiropodist every 3 months. £30 every 2 months </t>
  </si>
  <si>
    <t>Replaced every 2 years. From Boots/Wilko. CB3 changed lifetime to 5 years. Fg3 confirmed 1 pack of plasters per household</t>
  </si>
  <si>
    <t>Cb4 added in line with singles: One pack every 3 months. FG3 said 1 pack per household, lasting 4 weeks</t>
  </si>
  <si>
    <t>Cb4 added in line with singles:1 bottle replaced yearly. FG3 confirmed 1 bottle per household.</t>
  </si>
  <si>
    <t xml:space="preserve">Cb4 added in line with singles: 1 box a year. FG3 confirmed 1 box of 12 per person </t>
  </si>
  <si>
    <t xml:space="preserve">Cb4 added in line with singles: Optrex eye wash to bathe eyes, 6 months. Fg3 confirmed 1 per person </t>
  </si>
  <si>
    <t xml:space="preserve">Cb4 added in line with singles: Optrex eye drops for dry eyes. Replaced monthly.   Fg3 confirmed 1 per person </t>
  </si>
  <si>
    <t xml:space="preserve">Savlon, replace yearly. FG3 said 1 per household </t>
  </si>
  <si>
    <t xml:space="preserve">Digital thermometer. From Boots/Wilko/supermarket/Superdrug. Lasting 10 years. FG3 confirmed 1 per household </t>
  </si>
  <si>
    <t>A1</t>
  </si>
  <si>
    <t>Tea bags</t>
  </si>
  <si>
    <t>Coffee, instant</t>
  </si>
  <si>
    <t>200g</t>
  </si>
  <si>
    <t>1l</t>
  </si>
  <si>
    <t>Other high fibre breakfast cereals</t>
  </si>
  <si>
    <t>Weetabix</t>
  </si>
  <si>
    <t>Bread, Best of both, wholemeal</t>
  </si>
  <si>
    <t>220g</t>
  </si>
  <si>
    <t>Olive oil</t>
  </si>
  <si>
    <t>500g</t>
  </si>
  <si>
    <t>Marmalade</t>
  </si>
  <si>
    <t>454g</t>
  </si>
  <si>
    <t>30 g</t>
  </si>
  <si>
    <t>Plain digestives</t>
  </si>
  <si>
    <t>Apples, whole weight</t>
  </si>
  <si>
    <t>180g</t>
  </si>
  <si>
    <t>280 g</t>
  </si>
  <si>
    <t>1kg</t>
  </si>
  <si>
    <t>150 g</t>
  </si>
  <si>
    <t>Beef mince, raw weight</t>
  </si>
  <si>
    <t>Carrots, frozen</t>
  </si>
  <si>
    <t>250g</t>
  </si>
  <si>
    <t>700g</t>
  </si>
  <si>
    <t>2.5kg</t>
  </si>
  <si>
    <t>100g</t>
  </si>
  <si>
    <t>900g</t>
  </si>
  <si>
    <t>60 g</t>
  </si>
  <si>
    <t>Peas, frozen</t>
  </si>
  <si>
    <t>Broccoli, frozen</t>
  </si>
  <si>
    <t>170 g</t>
  </si>
  <si>
    <t>Cauliflower, frozen</t>
  </si>
  <si>
    <t>Sweetcorn, frozen</t>
  </si>
  <si>
    <t>3g</t>
  </si>
  <si>
    <t>Black pepper</t>
  </si>
  <si>
    <t>Tomato puree</t>
  </si>
  <si>
    <t>150ml</t>
  </si>
  <si>
    <t>Tinned tomatoes</t>
  </si>
  <si>
    <t>400g</t>
  </si>
  <si>
    <t>440g</t>
  </si>
  <si>
    <t>Custard powder</t>
  </si>
  <si>
    <t>Birds</t>
  </si>
  <si>
    <t>350g</t>
  </si>
  <si>
    <t>50 g</t>
  </si>
  <si>
    <t>1.5kg</t>
  </si>
  <si>
    <t>Food delivery</t>
  </si>
  <si>
    <t>Xmas food &amp; drink</t>
  </si>
  <si>
    <t>A2</t>
  </si>
  <si>
    <t>Eating out</t>
  </si>
  <si>
    <t>Takeaway</t>
  </si>
  <si>
    <t>Flora</t>
  </si>
  <si>
    <t>Satsumas, weight with peel</t>
  </si>
  <si>
    <t>250 g</t>
  </si>
  <si>
    <t>Ham</t>
  </si>
  <si>
    <t>Mayonnaise, light, reduced fat</t>
  </si>
  <si>
    <t>Cucumber</t>
  </si>
  <si>
    <t>Spring onions</t>
  </si>
  <si>
    <t>Potatoes, old</t>
  </si>
  <si>
    <t>Gravy Granules</t>
  </si>
  <si>
    <t>38ml</t>
  </si>
  <si>
    <t>135 g</t>
  </si>
  <si>
    <t>900ml</t>
  </si>
  <si>
    <t>10 x 20 g Weetbix (200 g)</t>
  </si>
  <si>
    <t>Weetabix Cereal 24 Pack</t>
  </si>
  <si>
    <t>Semi Skimmed Milk</t>
  </si>
  <si>
    <t>2272ml</t>
  </si>
  <si>
    <t>4130 ml plus 300ml for visitors 4430ml</t>
  </si>
  <si>
    <t>29  slices (1102 g)</t>
  </si>
  <si>
    <t>Flora spread, light, reduced fat</t>
  </si>
  <si>
    <t>424 g</t>
  </si>
  <si>
    <t>Jam, Fruit with edible seeds</t>
  </si>
  <si>
    <t>Orange Juice, carton, made from concentrate</t>
  </si>
  <si>
    <t>2240 ml</t>
  </si>
  <si>
    <t>Bacon, middle rashers, raw</t>
  </si>
  <si>
    <t>8 rashers (280 g)</t>
  </si>
  <si>
    <t>Croissant, plain</t>
  </si>
  <si>
    <t>2 x 75 g croissants (150 g)</t>
  </si>
  <si>
    <t>Yoghurt, low fat fruit</t>
  </si>
  <si>
    <t>6 x 125 g pots</t>
  </si>
  <si>
    <t>Banana, weight with skin</t>
  </si>
  <si>
    <t>10 medium (1580 g)</t>
  </si>
  <si>
    <t>Muesli, no sugar</t>
  </si>
  <si>
    <t>65 g</t>
  </si>
  <si>
    <t>Eggs large</t>
  </si>
  <si>
    <t>10 large eggs (610 g)</t>
  </si>
  <si>
    <t>Pork Sausages, thick, raw</t>
  </si>
  <si>
    <t>2 thick sausages (114 g}</t>
  </si>
  <si>
    <t>12 Tbsp (180 ml)</t>
  </si>
  <si>
    <t>Mushrooms, frozen, raw</t>
  </si>
  <si>
    <t>320 g</t>
  </si>
  <si>
    <t>Kit Kat</t>
  </si>
  <si>
    <t>Nestle</t>
  </si>
  <si>
    <t>4 biscuits (2 fingers each) (82 g)</t>
  </si>
  <si>
    <t>Mixed Nuts and Raisins</t>
  </si>
  <si>
    <t>20 x 14 g biscuits (280 g) plus 10 for visitors</t>
  </si>
  <si>
    <t>56 tea bags plus 10 for visitors</t>
  </si>
  <si>
    <t>6 medium apples (1044 g)</t>
  </si>
  <si>
    <t>Cooking apples</t>
  </si>
  <si>
    <t>2 x 170 g apples (340 g)</t>
  </si>
  <si>
    <t>Oatcakes</t>
  </si>
  <si>
    <t>11 x 11 g oatcakes (121 g)</t>
  </si>
  <si>
    <t>Cream cheese</t>
  </si>
  <si>
    <t>190 g</t>
  </si>
  <si>
    <t>Jam tart</t>
  </si>
  <si>
    <t>Mr Kipling</t>
  </si>
  <si>
    <t>4 x 34 g tarts (136 g) 2 for visitors</t>
  </si>
  <si>
    <t>10 satsumas (845 g)</t>
  </si>
  <si>
    <t>Pear, whole weight</t>
  </si>
  <si>
    <t>2 medium pears (320 g)</t>
  </si>
  <si>
    <t xml:space="preserve">Blueberries </t>
  </si>
  <si>
    <t>210g</t>
  </si>
  <si>
    <t xml:space="preserve">Onions </t>
  </si>
  <si>
    <t xml:space="preserve">12 small onions (792 g) </t>
  </si>
  <si>
    <t xml:space="preserve">Celery </t>
  </si>
  <si>
    <t>2 sticks (136 g)</t>
  </si>
  <si>
    <t xml:space="preserve">Spaghetti, dry weight </t>
  </si>
  <si>
    <t xml:space="preserve">156 g </t>
  </si>
  <si>
    <t>764 g</t>
  </si>
  <si>
    <t xml:space="preserve">Leeks, fresh </t>
  </si>
  <si>
    <t>1 leek (280 g)</t>
  </si>
  <si>
    <t>Garlic cloves</t>
  </si>
  <si>
    <t>4 cloves (16 g}</t>
  </si>
  <si>
    <t>Stock cube</t>
  </si>
  <si>
    <t>2 stock cubes (12 g)</t>
  </si>
  <si>
    <t>Bread rolls, standard, wholemeal</t>
  </si>
  <si>
    <t>1 small x 40 g and 1 stand 55 g</t>
  </si>
  <si>
    <t>Squash, no sugar conc</t>
  </si>
  <si>
    <t>1540 ml (=28x55ml)</t>
  </si>
  <si>
    <t xml:space="preserve">Tuna 1 x 180 g std tin in spring water </t>
  </si>
  <si>
    <t>2 medium 180 g tins (320 g)</t>
  </si>
  <si>
    <t xml:space="preserve">Tuna 1 x 100 g small tin in spring water </t>
  </si>
  <si>
    <t>4x145g</t>
  </si>
  <si>
    <t>2 small 100 g tins (100 g)</t>
  </si>
  <si>
    <t>292 g</t>
  </si>
  <si>
    <t>Lettuce, mixed leaf</t>
  </si>
  <si>
    <t>192 g</t>
  </si>
  <si>
    <t>Tomatoes</t>
  </si>
  <si>
    <t>8 small tomatoes (680 g)</t>
  </si>
  <si>
    <t>1.5 cucumbers (382 g)</t>
  </si>
  <si>
    <t>Beetroot, cooked</t>
  </si>
  <si>
    <t>462g</t>
  </si>
  <si>
    <t>2 cooked beetroot (144 g)</t>
  </si>
  <si>
    <t>Lamb Mince, raw weight</t>
  </si>
  <si>
    <t>Plain flour, white</t>
  </si>
  <si>
    <t>81 g</t>
  </si>
  <si>
    <t>Bay leaves, dried</t>
  </si>
  <si>
    <t>2 leaves</t>
  </si>
  <si>
    <t>Mixed dried herbs</t>
  </si>
  <si>
    <t>1 tsp (0.8 g)</t>
  </si>
  <si>
    <t>838 g</t>
  </si>
  <si>
    <t>Large potatoes, baking</t>
  </si>
  <si>
    <t xml:space="preserve">1 x 404 g and 1 x 243 g </t>
  </si>
  <si>
    <t>2 tsp (36 g)</t>
  </si>
  <si>
    <t>Worcestershire sauce</t>
  </si>
  <si>
    <t>2 tsp (12 g)</t>
  </si>
  <si>
    <t>510 g</t>
  </si>
  <si>
    <t>380 g</t>
  </si>
  <si>
    <t>180 g</t>
  </si>
  <si>
    <t>Salmon, frozen</t>
  </si>
  <si>
    <t>2 fillets, 1 packet (240 g)</t>
  </si>
  <si>
    <t>Rice, white long grain raw weight (600 g conversion factor 2.48)</t>
  </si>
  <si>
    <t>338 g</t>
  </si>
  <si>
    <t>Beans, frozen</t>
  </si>
  <si>
    <t>Caster sugar</t>
  </si>
  <si>
    <t>104 g</t>
  </si>
  <si>
    <t>Cream, single</t>
  </si>
  <si>
    <t>2 Tbsp (66 g)</t>
  </si>
  <si>
    <t>37 g</t>
  </si>
  <si>
    <t>7 slices (130 g)</t>
  </si>
  <si>
    <t>6 spring onions (107 g)</t>
  </si>
  <si>
    <t>Pickled onions</t>
  </si>
  <si>
    <t>2 small (50 g)</t>
  </si>
  <si>
    <t>Coleslaw, ready made</t>
  </si>
  <si>
    <t>227g</t>
  </si>
  <si>
    <t>1 small tin (200 g)</t>
  </si>
  <si>
    <t>Bolognese sauce, jar</t>
  </si>
  <si>
    <t>1/2 jar (250 g)</t>
  </si>
  <si>
    <t>0.2 g</t>
  </si>
  <si>
    <t xml:space="preserve">Green Pepper </t>
  </si>
  <si>
    <t>2 small peppers (286 g)</t>
  </si>
  <si>
    <t>Green Peppers Each Class 1</t>
  </si>
  <si>
    <t xml:space="preserve">Baked Beans </t>
  </si>
  <si>
    <t>1 large tin (420 g)</t>
  </si>
  <si>
    <t>Cod, frozen</t>
  </si>
  <si>
    <t>2 x 130 g fillets (1 packet)</t>
  </si>
  <si>
    <t>Cheese, reduced fat</t>
  </si>
  <si>
    <t>162 g</t>
  </si>
  <si>
    <t>Chips, frozen</t>
  </si>
  <si>
    <t>265 g</t>
  </si>
  <si>
    <t>Peaches, tin in juice</t>
  </si>
  <si>
    <t>410g</t>
  </si>
  <si>
    <t>Chicken, raw without skin</t>
  </si>
  <si>
    <t>2 medium fillets (260 g)</t>
  </si>
  <si>
    <t>Chicken, raw with skin and bone (270 g roasted = converstion factors: 0.58 weight change factor and waste</t>
  </si>
  <si>
    <t>1 whole chicken (1588 g)</t>
  </si>
  <si>
    <t>Curry sauce</t>
  </si>
  <si>
    <t>1 jar 440 g</t>
  </si>
  <si>
    <t xml:space="preserve">Red pepper </t>
  </si>
  <si>
    <t>1 medium pepper (192 g)</t>
  </si>
  <si>
    <t>Red Peppers Each Class 1</t>
  </si>
  <si>
    <t>Spinach frozen</t>
  </si>
  <si>
    <t>160 g</t>
  </si>
  <si>
    <t>Seeded wholemeal roll</t>
  </si>
  <si>
    <t>2 x 60 g (2 out of 4 packet)</t>
  </si>
  <si>
    <t>Mixed berries, frozen</t>
  </si>
  <si>
    <t>120 g</t>
  </si>
  <si>
    <t>Beef, lean diced, raw</t>
  </si>
  <si>
    <t>Rice, short grain pudding</t>
  </si>
  <si>
    <t>Vanilla essence</t>
  </si>
  <si>
    <t>2 tsp 10 ml</t>
  </si>
  <si>
    <t>Nutmeg</t>
  </si>
  <si>
    <t>2 tsp 1.2 g</t>
  </si>
  <si>
    <t>Parsnips</t>
  </si>
  <si>
    <t>Swede, frozen</t>
  </si>
  <si>
    <t>124 g</t>
  </si>
  <si>
    <t>Cabbage, frozen</t>
  </si>
  <si>
    <t>Paxo stuffing, packet mixture, dry weight</t>
  </si>
  <si>
    <t>Paxo</t>
  </si>
  <si>
    <t>170g</t>
  </si>
  <si>
    <t>Paxo Sage &amp; Onion Stuffing Mix 170g</t>
  </si>
  <si>
    <t>Yorkshire pudding</t>
  </si>
  <si>
    <t>4 tsp 20 g</t>
  </si>
  <si>
    <t>Cranberry sauce, retail jar</t>
  </si>
  <si>
    <t>Vanilla ice-cream</t>
  </si>
  <si>
    <t>Mango frozen chunks</t>
  </si>
  <si>
    <t>Almonds, flaked</t>
  </si>
  <si>
    <t xml:space="preserve">B: Alcohol </t>
  </si>
  <si>
    <t>B1A</t>
  </si>
  <si>
    <t>Food</t>
  </si>
  <si>
    <t>Alcohol</t>
  </si>
  <si>
    <t>Tobacco</t>
  </si>
  <si>
    <t>Clothing</t>
  </si>
  <si>
    <t>Household insurances</t>
  </si>
  <si>
    <t>Other housing costs</t>
  </si>
  <si>
    <t>Household goods</t>
  </si>
  <si>
    <t>Household services</t>
  </si>
  <si>
    <t>Personal goods and services</t>
  </si>
  <si>
    <t>Motoring</t>
  </si>
  <si>
    <t>Other travel costs</t>
  </si>
  <si>
    <t>CB4 added descaler solution in line with PPens, 6 months (18 months for 30pack)</t>
  </si>
  <si>
    <t>CB4 added clingfilm. 30m lasting 6 months.</t>
  </si>
  <si>
    <t>Anti bacterial spray replaced every 6 weeks. CB4 reduced lifetime to monthly in line with singles</t>
  </si>
  <si>
    <t>CB4 added in line with singles: 4 needed, 'Fluffy' style, Dunelm,  5 years</t>
  </si>
  <si>
    <t xml:space="preserve"> From supermarket/Superdrug/Boots. Lasting 10 years. CB3 changed lifetime to 5 years for female</t>
  </si>
  <si>
    <t>Partnered pensioner</t>
  </si>
  <si>
    <t>A: Food and non-alcoholic beverages</t>
  </si>
  <si>
    <t>Partnered pensioners</t>
  </si>
  <si>
    <t>A food and non-alcoholic beverages</t>
  </si>
  <si>
    <t>A1 food</t>
  </si>
  <si>
    <t>A2 catering</t>
  </si>
  <si>
    <t>B alcohol and tobacco</t>
  </si>
  <si>
    <t>B1 alcohol</t>
  </si>
  <si>
    <t>B1A alcohol at home</t>
  </si>
  <si>
    <t>B1B alcohol away from home</t>
  </si>
  <si>
    <t>C clothing and footwear</t>
  </si>
  <si>
    <t>D housing costs</t>
  </si>
  <si>
    <t>D1 rent</t>
  </si>
  <si>
    <t>D2 mortgage interest</t>
  </si>
  <si>
    <t>D3 water</t>
  </si>
  <si>
    <t>D4 Council tax</t>
  </si>
  <si>
    <t>D5 household insurances</t>
  </si>
  <si>
    <t>D6 fuel</t>
  </si>
  <si>
    <t>D7 other housing costs</t>
  </si>
  <si>
    <t>E household goods and services</t>
  </si>
  <si>
    <t>E1 household goods</t>
  </si>
  <si>
    <t>E2 household services</t>
  </si>
  <si>
    <t>E2A communication</t>
  </si>
  <si>
    <t>E2A1 postage</t>
  </si>
  <si>
    <t>E2A2 telephone</t>
  </si>
  <si>
    <t>E2B childcare</t>
  </si>
  <si>
    <t>E2C other household services</t>
  </si>
  <si>
    <t>F personal goods and services (inc health)</t>
  </si>
  <si>
    <t>G transport</t>
  </si>
  <si>
    <t>G1 motoring expenditure</t>
  </si>
  <si>
    <t>G2 Fares and other travel costs</t>
  </si>
  <si>
    <t>H social and cultural participation</t>
  </si>
  <si>
    <t>H1 leisure goods</t>
  </si>
  <si>
    <t>H2 pets</t>
  </si>
  <si>
    <t>H3 entertainment and recreation</t>
  </si>
  <si>
    <t>H4 TV licence and rental</t>
  </si>
  <si>
    <t>H5 foreign holidays</t>
  </si>
  <si>
    <t>H6 UK holidays</t>
  </si>
  <si>
    <t>A1 Food</t>
  </si>
  <si>
    <t>A1 Catering</t>
  </si>
  <si>
    <t>B1A Alcohol at home</t>
  </si>
  <si>
    <t>B1B Alcohol away from home</t>
  </si>
  <si>
    <t>C clothing</t>
  </si>
  <si>
    <t>F Personal goods</t>
  </si>
  <si>
    <t>F Health</t>
  </si>
  <si>
    <t>G Transport</t>
  </si>
  <si>
    <t>Social and cultural participation</t>
  </si>
  <si>
    <t>Total</t>
  </si>
  <si>
    <t>Car</t>
  </si>
  <si>
    <t>3 year old Ford Fiesta, replace every 5 years</t>
  </si>
  <si>
    <t>£20 a month per household</t>
  </si>
  <si>
    <t>£200 per year per person</t>
  </si>
  <si>
    <t>Band C, Sheffield (as typical, illustrative council tax rate)</t>
  </si>
  <si>
    <t>Includes £80K contents, accidental damage, emergency cover, replacement locks, £2k personal possessions cover, £250 excess</t>
  </si>
  <si>
    <t>£198.48 paid in 12 monthly instalments of £18.04. Sainsburys bank</t>
  </si>
  <si>
    <t>Buildings and contents insurance</t>
  </si>
  <si>
    <t>£400 labour, £200 materials/yr + £300 ‘just in case’ money, Total = £900/yr</t>
  </si>
  <si>
    <t>Ppens F</t>
  </si>
  <si>
    <t>Clothing and footwear</t>
  </si>
  <si>
    <t>£1000 a year for clothing; £500 for footwear</t>
  </si>
  <si>
    <t>Ppens M</t>
  </si>
  <si>
    <t>£500 a year for clothing; £500 for footwear</t>
  </si>
  <si>
    <t>LG 50QNED756RA 50" Smart 4K Ultra HD HDR QNED TV with Amazon Alexa</t>
  </si>
  <si>
    <t>50" smart TV for living room from Currys. Lasting 5 years.</t>
  </si>
  <si>
    <t>TV (Bedroom)</t>
  </si>
  <si>
    <t>32" Smart TV for bedroom + bracket</t>
  </si>
  <si>
    <t>SAMSUNG UE32T4300AEXXU 32" Smart HD Ready HDR LED TV</t>
  </si>
  <si>
    <t>TV bracket (bedroom)</t>
  </si>
  <si>
    <t>LOGIK LCS16 Tilt &amp; Swivel TV Bracket</t>
  </si>
  <si>
    <t>H2</t>
  </si>
  <si>
    <t>SAMSUNG Galaxy Tab A8 10.5" Tablet - 32 GB, Graphite</t>
  </si>
  <si>
    <t>Tablet</t>
  </si>
  <si>
    <t>LENOVO IdeaPad 3 15.6" Laptop - AMD Ryzen 5, 256 GB SSD, Blue</t>
  </si>
  <si>
    <t>Full size, 5 years</t>
  </si>
  <si>
    <t>TV Subscription</t>
  </si>
  <si>
    <t>TV subscription package</t>
  </si>
  <si>
    <t>Sky</t>
  </si>
  <si>
    <t>Sky package: Sky Entertainment + Sky Broadband unlimited + Netflix standard + Talk anytime = £78 per month</t>
  </si>
  <si>
    <t>Included above</t>
  </si>
  <si>
    <t>Music streaming</t>
  </si>
  <si>
    <t>Music streaming subscription</t>
  </si>
  <si>
    <t>e.g. Apple music</t>
  </si>
  <si>
    <t>e.g. Amazon Prime</t>
  </si>
  <si>
    <t>£50 per week each to cover activities outside the home</t>
  </si>
  <si>
    <t>LG SP2 2.1 All-in-One Sound Bar - Dark Grey</t>
  </si>
  <si>
    <t>Soundbar</t>
  </si>
  <si>
    <t>Soundbar, last 10 years</t>
  </si>
  <si>
    <t>Ppens</t>
  </si>
  <si>
    <t>Printer</t>
  </si>
  <si>
    <t>Printer ink</t>
  </si>
  <si>
    <t>HP DeskJet 2710e All-in-One Wireless Inkjet Printer</t>
  </si>
  <si>
    <t xml:space="preserve">£2.99/month HP ink subscription </t>
  </si>
  <si>
    <t>HP Instant ink subscription</t>
  </si>
  <si>
    <t>HP Instant Ink - 50 pages per month</t>
  </si>
  <si>
    <t xml:space="preserve">£40 per person, per week </t>
  </si>
  <si>
    <t>£30 per couple, per week</t>
  </si>
  <si>
    <t>£250 per household</t>
  </si>
  <si>
    <t>Anytime 12 month pass £80</t>
  </si>
  <si>
    <t>Hovis Best of Both Medium 50% White &amp; 50% Wholemeal Flour 800g</t>
  </si>
  <si>
    <t>Hovis</t>
  </si>
  <si>
    <t>Flora Lighter Vegan Spread 450g</t>
  </si>
  <si>
    <t>450g</t>
  </si>
  <si>
    <t>Bonne Maman Strawberry Conserve 370g</t>
  </si>
  <si>
    <t>370g</t>
  </si>
  <si>
    <t>Bonne Maman</t>
  </si>
  <si>
    <t>Cafédirect Fairtrade Machu Picchu Peru Instant Coffee 100g</t>
  </si>
  <si>
    <t>28 tsp</t>
  </si>
  <si>
    <t>Cafédirect</t>
  </si>
  <si>
    <t>Sainsbury's 100% Pure Squeezed Orange Juice with Bits, Not From Concentrate 1.75L</t>
  </si>
  <si>
    <t>1.75l</t>
  </si>
  <si>
    <t>Sainsbury’s Unsmoked Back British Bacon Rashers x10 300g</t>
  </si>
  <si>
    <t>300g</t>
  </si>
  <si>
    <t>Sainsbury’s All Butter Croissants x2</t>
  </si>
  <si>
    <t>Oykos Strawberry Luxury Greek Style Yogurt 4x110g</t>
  </si>
  <si>
    <t>Oykos</t>
  </si>
  <si>
    <t>Sainsbury's Fairtrade Bananas x5</t>
  </si>
  <si>
    <t>Sainsbury's Swiss Style Muesli, No Added Salt &amp; Sugar 1kg</t>
  </si>
  <si>
    <t>Happy Egg Large Free Range Eggs x10</t>
  </si>
  <si>
    <t>Happy Egg</t>
  </si>
  <si>
    <t>Sainsbury's British Pork Cumberland Sausages, Taste the Difference x6 400g</t>
  </si>
  <si>
    <t>Sainsbury's Olive Oil 1L</t>
  </si>
  <si>
    <t>Sainsbury's Sliced Mushrooms 500g</t>
  </si>
  <si>
    <t>Frank Cooper's Vintage Orange Marmalade 454g</t>
  </si>
  <si>
    <t>Frank Cooper's</t>
  </si>
  <si>
    <t>Kit Kat 2 Finger Milk Chocolate Biscuit Bar Multipack 14x20.7g</t>
  </si>
  <si>
    <t>Sainsbury's Fruit &amp; Nut Mix, SO Organic 300g</t>
  </si>
  <si>
    <t>McVitie's Digestives The Original Biscuits 360g</t>
  </si>
  <si>
    <t>McVitie's</t>
  </si>
  <si>
    <t>Yorkshire Tea Tea Bags x80</t>
  </si>
  <si>
    <t>Yorkshire Tea</t>
  </si>
  <si>
    <t>Sainsbury's Royal Gala Apples x6</t>
  </si>
  <si>
    <t>Sainsbury's Bramley Cooking Apples Loose</t>
  </si>
  <si>
    <t>Nairn's Rough Oatcake 291g</t>
  </si>
  <si>
    <t>Nairn's</t>
  </si>
  <si>
    <t>Sainsbury's White Soft Cheese 300g</t>
  </si>
  <si>
    <t>Mr Kipling Jam Tarts Raspberry, Apricot, Blackcurrant x6</t>
  </si>
  <si>
    <t>Sainsbury's Easy Peelers 600g</t>
  </si>
  <si>
    <t>Sainsbury's Conference Pears x4</t>
  </si>
  <si>
    <t>Sainsbury's Blueberries 150g</t>
  </si>
  <si>
    <t>150g</t>
  </si>
  <si>
    <t>Sainsbury's Onions 1kg</t>
  </si>
  <si>
    <t>1000g</t>
  </si>
  <si>
    <t>Sainsbury's Celery Sticks 250g</t>
  </si>
  <si>
    <t>Sainsbury's Spaghetti 500g</t>
  </si>
  <si>
    <t>Sainsbury's Sliced Carrots 1kg</t>
  </si>
  <si>
    <t>Sainsbury's Sliced Leeks 700g</t>
  </si>
  <si>
    <t>Garlic Each avg 12 cloves</t>
  </si>
  <si>
    <t>Oxo Chicken Stock Cubes x24 142g</t>
  </si>
  <si>
    <t>Oxo</t>
  </si>
  <si>
    <t>Sainsbury's Multiseed Wholemeal Rolls, Taste the Difference x4</t>
  </si>
  <si>
    <t>Robinsons Double Strength Apple &amp; Blackcurrant No Added Sugar Fruit Squash 1L</t>
  </si>
  <si>
    <t>Robinsons</t>
  </si>
  <si>
    <t>Sainsbury's Tuna Chunks in Spring Water 4x145g</t>
  </si>
  <si>
    <t>750ml</t>
  </si>
  <si>
    <t>Hellmann's Real Squeezy Mayonnaise 750ml</t>
  </si>
  <si>
    <t>Hellmann's</t>
  </si>
  <si>
    <t xml:space="preserve">Iceberg Lettuce </t>
  </si>
  <si>
    <t>Sainsbury's Plum Tomatoes 500g</t>
  </si>
  <si>
    <t>Cucumber Whole Each</t>
  </si>
  <si>
    <t>Sainsbury's Sliced Pickled Beetroot in Vinegar 710g (462g*)</t>
  </si>
  <si>
    <t>Sainsbury's British or New Zealand 20% Fat Lamb Mince 500g</t>
  </si>
  <si>
    <t>Sainsbury's Plain Flour 1.5kg</t>
  </si>
  <si>
    <t>Sainsbury's Bay Leaves 3g</t>
  </si>
  <si>
    <t>Sainsbury's Mixed Herbs 14g</t>
  </si>
  <si>
    <t>14g</t>
  </si>
  <si>
    <t>Sainsbury's British Maris Piper Potatoes 2.5kg</t>
  </si>
  <si>
    <t>Sainsbury's British Baking Potatoes x4</t>
  </si>
  <si>
    <t>Sainsbury's Tomato Puree, Double Concentrate 200g</t>
  </si>
  <si>
    <t>Lea &amp; Perrins Worcestershire Sauce 150ml</t>
  </si>
  <si>
    <t>Sainsbury's Broccoli Florets 900g</t>
  </si>
  <si>
    <t>Lea &amp; Perrins</t>
  </si>
  <si>
    <t>Sainsbury's Garden Peas 910g</t>
  </si>
  <si>
    <t>910g</t>
  </si>
  <si>
    <t>Sainsbury's Sweetcorn, Super Sweet 1kg</t>
  </si>
  <si>
    <t>Sainsbury's Salmon Fillets 360g</t>
  </si>
  <si>
    <t>Sainsbury's Easy Cook Long Grain White Rice 1kg</t>
  </si>
  <si>
    <t>Sainsbury's Whole Green Beans 900g</t>
  </si>
  <si>
    <t>Sainsbury's White Caster Sugar 1kg</t>
  </si>
  <si>
    <t>Sainsbury's British Single Cream 150ml</t>
  </si>
  <si>
    <t>Birds Custard Powder 350g</t>
  </si>
  <si>
    <t>Sainsbury's British Honey Roast Cooked Ham Slices x7 120g</t>
  </si>
  <si>
    <t>120g</t>
  </si>
  <si>
    <t>Sainsbury's Spring Onions Bunch 100g</t>
  </si>
  <si>
    <t>Sainsbury's Pickled Onions in Vinegar 440g (200g*)</t>
  </si>
  <si>
    <t>Sainsbury's Coleslaw, Taste the Difference 180g</t>
  </si>
  <si>
    <t>Sainsbury's British or Irish 5% Fat Beef Mince 250g</t>
  </si>
  <si>
    <t>Sainsbury's Chopped Tomatoes 227g</t>
  </si>
  <si>
    <t>Mutti Simply Sugo Peperoncino Chilli 400g</t>
  </si>
  <si>
    <t>Mutti</t>
  </si>
  <si>
    <t>Sainsbury's Coarse Ground Black Pepper 45g</t>
  </si>
  <si>
    <t>45g</t>
  </si>
  <si>
    <t>Heinz Baked Beans in a Rich Tomato Sauce 4 x 415g</t>
  </si>
  <si>
    <t>Sainsbury's Skinless &amp; Boneless Cod Fillets 360g</t>
  </si>
  <si>
    <t>Heinz</t>
  </si>
  <si>
    <t>Cathedral City Lighter Mature Cheddar Cheese 350g</t>
  </si>
  <si>
    <t>Cathedral City</t>
  </si>
  <si>
    <t>Mccain Naked Oven Chips Straight 900g</t>
  </si>
  <si>
    <t>Del Monte Peach Slices In Juice 415g</t>
  </si>
  <si>
    <t>Sainsbury's British Fresh Chicken Breast Fillets Skinless &amp; Boneless 300g</t>
  </si>
  <si>
    <t>McCain</t>
  </si>
  <si>
    <t>Del Monte</t>
  </si>
  <si>
    <t>Sainsbury's British Fresh Large Whole Chicken 1.9kg</t>
  </si>
  <si>
    <t>Sharwood's Tikka Masala Curry Sauce 420g</t>
  </si>
  <si>
    <t>Sharwood's</t>
  </si>
  <si>
    <t>Sainsbury's Chopped Spinach 900g</t>
  </si>
  <si>
    <t>Sainsbury's Large Multi Seeded Deli Rolls x4</t>
  </si>
  <si>
    <t>Sainsbury's Four Berry Medley Frozen Fruit 1kg</t>
  </si>
  <si>
    <t>Sainsbury's British or Irish Extra Lean Diced Beef 500g</t>
  </si>
  <si>
    <t>Sainsbury's Pudding Rice 500g</t>
  </si>
  <si>
    <t>Cake Décor Madagascan Vanilla Extract 38ml</t>
  </si>
  <si>
    <t>Sainsbury's Ground Nutmeg 50g</t>
  </si>
  <si>
    <t>50g</t>
  </si>
  <si>
    <t>Sainsbury's Parsnips 500g</t>
  </si>
  <si>
    <t>Sainsbury's British Swede</t>
  </si>
  <si>
    <t>Sainsbury's Sliced Savoy Cabbage 500g</t>
  </si>
  <si>
    <t>Aunt Bessie's Glorious Golden Yorkshire Puddings x10 190g</t>
  </si>
  <si>
    <t>36 g</t>
  </si>
  <si>
    <t>2 x 30 g</t>
  </si>
  <si>
    <t>190g</t>
  </si>
  <si>
    <t>Aunt Bessie's</t>
  </si>
  <si>
    <t>Bisto Best Chicken Gravy Granules 230g</t>
  </si>
  <si>
    <t>230g</t>
  </si>
  <si>
    <t>Bisto</t>
  </si>
  <si>
    <t>Sainsbury's Cranberry Sauce, Taste the Difference 220g</t>
  </si>
  <si>
    <t>Sainsbury's Cauliflower Florets 900g</t>
  </si>
  <si>
    <t>Carte D'or Madagascan Vanilla Ice Cream Dessert Tub 900ml</t>
  </si>
  <si>
    <t>Carte D'or</t>
  </si>
  <si>
    <t>Sainsbury's Frozen Mango Chunks 500g</t>
  </si>
  <si>
    <t>Sainsbury's Almond Flakes 200g</t>
  </si>
  <si>
    <t>Sainsbury's British Semi Skimmed Milk 2.272L 4 Pints</t>
  </si>
  <si>
    <t>Beer</t>
  </si>
  <si>
    <t xml:space="preserve">3 cans of beer a week. </t>
  </si>
  <si>
    <t>Beavertown Neck Oil Session Ipa 10X330ml</t>
  </si>
  <si>
    <t>Wine, Red</t>
  </si>
  <si>
    <t>Wine, white</t>
  </si>
  <si>
    <t>Beavertown</t>
  </si>
  <si>
    <t>Carnivor Zinfandel Red Wine 75cl</t>
  </si>
  <si>
    <t>1 bottle wine per week each. £10 per bottle</t>
  </si>
  <si>
    <t>The Ned Sauvignon Blanc 750ml</t>
  </si>
  <si>
    <t>Help for friends and family</t>
  </si>
  <si>
    <t>Family support - looking after grandchildren, treats, foods + clothes Financial - paying for hobbies i.e. swimming lessons, horse riding, football etc. Help with cost of school trips + uniform. £1000 per year</t>
  </si>
  <si>
    <t>£200 per year for flowers/card/gifts for other occasions. For: weddings, new baby, christening, new home, new job, retirement gifts and cards etc.</t>
  </si>
  <si>
    <t>12 gifts of £50, inclduing gift wrap and cards = £360</t>
  </si>
  <si>
    <t>£50 for an artificial 4ft Xmas tree and decorations (baubles, lights etc.), 10 years</t>
  </si>
  <si>
    <t>Passport needed for identification purposes.</t>
  </si>
  <si>
    <t>For passport.</t>
  </si>
  <si>
    <t>14 days, half board, Mediterranean</t>
  </si>
  <si>
    <t>Thomas Cook</t>
  </si>
  <si>
    <t>Iberostar Selection Jardin del Sol Suites, 14 nights, half board, sea view suite, 4 June 2024, Gatwick</t>
  </si>
  <si>
    <t>£100 per person, per day spending money (excluding travelling days)</t>
  </si>
  <si>
    <t>3 night city break, UK</t>
  </si>
  <si>
    <t>Bath City Centre Hotel, Premier Inn, 3 nights, 12-15 Sep, Standard room, pre-pay, £369</t>
  </si>
  <si>
    <t>York North Hotel, Premier Inn, 3 nights, 12-15 March 2024, Standard room, pre-pay, £199</t>
  </si>
  <si>
    <t>£400 spending money per 3 day break</t>
  </si>
  <si>
    <t>Liverpool City Centre (Albert Dock) hotel, Premier Inn, 3 nights, 14-17 May 2024, Standard room, pre-pay, £189</t>
  </si>
  <si>
    <t>UK holiday</t>
  </si>
  <si>
    <t>£100 every 6 weeks</t>
  </si>
  <si>
    <t>Beauty treatments</t>
  </si>
  <si>
    <t>£60 every 6 weeks</t>
  </si>
  <si>
    <t>Remington D5220 Pro Air Turbo Hair Dryer with Diffuser</t>
  </si>
  <si>
    <t>Oral B, £20, 3 years</t>
  </si>
  <si>
    <t>Oral-B Vitality Plus Electric Toothbrush - Deep Clean</t>
  </si>
  <si>
    <t>Replace head every 3 months</t>
  </si>
  <si>
    <t>Oral-B CrossAction Electric Toothbrush Heads - 8 Pack</t>
  </si>
  <si>
    <t xml:space="preserve">£10 per month. </t>
  </si>
  <si>
    <t>£160 per year for perfume</t>
  </si>
  <si>
    <t xml:space="preserve">£25 every month </t>
  </si>
  <si>
    <t>Treatments</t>
  </si>
  <si>
    <t>£160 a year on aftershave</t>
  </si>
  <si>
    <t>Food for family and friends</t>
  </si>
  <si>
    <t>£100 per household per month to take out others for a meal i.e. children/grandchildren.</t>
  </si>
  <si>
    <t>Maintenance</t>
  </si>
  <si>
    <t>Boiler servicing and cover</t>
  </si>
  <si>
    <t>Boiler maintenance and replacement plan</t>
  </si>
  <si>
    <t>British Gas Home Care Classic
Includes:  Repairs to your gas central heating system, including boiler, controls, radiators and hot water cylinder; annual service of your boiler to make sure it's running safely and efficiently; repairs to the plumbing system in your home and outbuildings and the water supply pipe within the boundary of your property. Unblocking and repairing your drains and waste pipes to restore flow; Accidental Damage; Up to £1,000 to gain access and make good for each repair
No excess for each repair</t>
  </si>
  <si>
    <t>Funeral plan</t>
  </si>
  <si>
    <t>£4150 for Co-Op Silver cremation plan</t>
  </si>
  <si>
    <t>£80 budget for lampshade</t>
  </si>
  <si>
    <t>£200 per window, last 5 years</t>
  </si>
  <si>
    <t>£120 budget for lampshade</t>
  </si>
  <si>
    <t>Bedroom 3</t>
  </si>
  <si>
    <t>£45 per lampshade throughout house.</t>
  </si>
  <si>
    <t>ASDA LED Classic 60W Large Bayonet Daylight Lightbulb 2 pack</t>
  </si>
  <si>
    <t>Sofabed</t>
  </si>
  <si>
    <t>Mid-range, DFS, 2 seater, 25 years</t>
  </si>
  <si>
    <t>Horace, Large 2 Seater Deluxe Sofa Bed</t>
  </si>
  <si>
    <t>Desk</t>
  </si>
  <si>
    <t>Ikea</t>
  </si>
  <si>
    <t>Ikea, £80, 25 years</t>
  </si>
  <si>
    <t>Chair (office)</t>
  </si>
  <si>
    <t>Ikea, 10 years</t>
  </si>
  <si>
    <t>MILLBERGET Swivel chair, Murum black</t>
  </si>
  <si>
    <t>Energy efficient bulb. 2 last 5 years</t>
  </si>
  <si>
    <t>Natural Blackout Moisture Resistant Roller Blind</t>
  </si>
  <si>
    <t>Moisture resistant blind,m Dunelm, 10 years</t>
  </si>
  <si>
    <t>Door bell</t>
  </si>
  <si>
    <t>Video Doorbell + Indoor Camera (2nd Gen)</t>
  </si>
  <si>
    <t>Ring</t>
  </si>
  <si>
    <t>Ring doorbell and camera. !0 years</t>
  </si>
  <si>
    <t>E2</t>
  </si>
  <si>
    <t xml:space="preserve">Door bell </t>
  </si>
  <si>
    <t>Ring subscription</t>
  </si>
  <si>
    <t>Ring Protect subscription</t>
  </si>
  <si>
    <t>Security Light</t>
  </si>
  <si>
    <t>2 needed. One back and one front. Last 20 yrs.</t>
  </si>
  <si>
    <t>SA Products LED Security Light - Outdoor LED Lights with 5 Bulbs &amp; Motion Sensor - Battery-Powered 600 Lumen Spotlight</t>
  </si>
  <si>
    <t>Downstairs loo</t>
  </si>
  <si>
    <t>Replacement</t>
  </si>
  <si>
    <t>Spot lights</t>
  </si>
  <si>
    <t>Spotlights, B&amp;Q, Next, Homebase, Amazon (or other online), Argos, Ikea, included in refit of downstairs loo.</t>
  </si>
  <si>
    <t>Lightbulbs</t>
  </si>
  <si>
    <t>Sainsburys</t>
  </si>
  <si>
    <t>Sainsbury's Home Bulb LED GU10 50w x4</t>
  </si>
  <si>
    <t>Towel rail</t>
  </si>
  <si>
    <t>plumbed in, included in bathroom replacement</t>
  </si>
  <si>
    <t>Hand towel</t>
  </si>
  <si>
    <t>Toilet Seat</t>
  </si>
  <si>
    <t>COOKE &amp; LEWIS DIANI WHITE TOP-FIX SOFT CLOSE TOILET SEAT</t>
  </si>
  <si>
    <t>Toilet roll holder</t>
  </si>
  <si>
    <t>Chrome, included in cost of refit</t>
  </si>
  <si>
    <t>Toilet roll brush + holder</t>
  </si>
  <si>
    <t>Replace every 6 months</t>
  </si>
  <si>
    <t>Replace once in retirement 15 years., B&amp;Q, Wickes, Ikea. Including spotlights, towel rail + toilet roll holder.</t>
  </si>
  <si>
    <t>George Home Small Mustard Super Soft Cotton Hand Towel</t>
  </si>
  <si>
    <t>Cheapest, supermarket, 2 years</t>
  </si>
  <si>
    <t>Soft close lid, approx. £25, replace every 10years</t>
  </si>
  <si>
    <t>Sainsbury's Home White Plastic Toilet Brush</t>
  </si>
  <si>
    <t>For outside, coir matting, 2 years.</t>
  </si>
  <si>
    <t>For inside, coir matting, 10 years.</t>
  </si>
  <si>
    <t>Lloyd Pascal Dark Chevron Console Table</t>
  </si>
  <si>
    <t>Console table</t>
  </si>
  <si>
    <t>Next</t>
  </si>
  <si>
    <t>Console table, 25 years</t>
  </si>
  <si>
    <t>To match console table</t>
  </si>
  <si>
    <t>Lloyd Pascal Climate Grey and Bamboo Bench With Shoe Rack</t>
  </si>
  <si>
    <t>STOCKHOLM Mirror, walnut veneer, 60 cm</t>
  </si>
  <si>
    <t xml:space="preserve">Lamp </t>
  </si>
  <si>
    <t>Seychelles Mini Blush Pink Table Lamp</t>
  </si>
  <si>
    <t>3+2 seaters from Sofology, leather. Total cost up to £3000. 10 years. 3 seater recliner.</t>
  </si>
  <si>
    <t>New Navona 3 Seater power Recliner</t>
  </si>
  <si>
    <t>3+2 seaters from DFS, leather. Total cost up to £3000. 10 years. 3 seater recliner.</t>
  </si>
  <si>
    <t>New Navona 2 seater</t>
  </si>
  <si>
    <t>Cut Velvet Multi Stripe Cushion</t>
  </si>
  <si>
    <t>6 cushions, £20 a cushion, 5 years</t>
  </si>
  <si>
    <t>Samsung Galaxy S21 FE</t>
  </si>
  <si>
    <t>2 mobile phones. Contract approx £30 per month, at least 3GB data, 3 year contract</t>
  </si>
  <si>
    <t>Cheapest cordless phone with two handsets</t>
  </si>
  <si>
    <t>Vtech CS2001 Cordless Telephone - Twin</t>
  </si>
  <si>
    <t>E2C</t>
  </si>
  <si>
    <t>5.6.2</t>
  </si>
  <si>
    <t>Household Services</t>
  </si>
  <si>
    <t>Gardener</t>
  </si>
  <si>
    <t>Lawn cutting fortnightly (every week for 6 months) £25 (derived from quotes from getagardener.co.uk + bark)</t>
  </si>
  <si>
    <t>2 days per year, half a day per season to help with heavier jobs, plus lawn cutting every week for 6 months of the year</t>
  </si>
  <si>
    <t xml:space="preserve">
Half a day (4 hours per season) £25 per hour  (quotes for Nottingham area)</t>
  </si>
  <si>
    <t>Cleaner</t>
  </si>
  <si>
    <t>2 days per year to allow for help with spring/deep clean or to clean carpets</t>
  </si>
  <si>
    <t>Deep clean/spring clean based on 3 bed house, 6 hours with 4 cleaners total cost - £408 inc. cleaning materials (based on detailed quote from Gleam Team for Nottingham postcode)</t>
  </si>
  <si>
    <t>Window Cleaner</t>
  </si>
  <si>
    <t>To clean outside windows every 4 weeks</t>
  </si>
  <si>
    <t xml:space="preserve">£12 quotes for 3 bed house windows </t>
  </si>
  <si>
    <t>Mid-range, solid wood, 25 years</t>
  </si>
  <si>
    <t>Julian Bowen Cotswold Nest of 2 tables</t>
  </si>
  <si>
    <t>Coffee table</t>
  </si>
  <si>
    <t>Mid-range, 25 years</t>
  </si>
  <si>
    <t>Julian Bowen Tribecca Coffee table</t>
  </si>
  <si>
    <t>John Lewis</t>
  </si>
  <si>
    <t>Mid range, approx £500, 25 years</t>
  </si>
  <si>
    <t>John Lewis ANYDAY fern storage cabinet, oak</t>
  </si>
  <si>
    <t>Mid range, approx £350-400, 25 years</t>
  </si>
  <si>
    <t>John Lewis ANYDAY line bookcase, natural</t>
  </si>
  <si>
    <t>£10 a week</t>
  </si>
  <si>
    <t>Mid-range, 2 needed, 10 years</t>
  </si>
  <si>
    <t>John Lewis Martha Ceramic Table Lamps, set of 2, sulphur</t>
  </si>
  <si>
    <t>Mid-range, 10 years</t>
  </si>
  <si>
    <t>John Lewis Levity LED uplighter/reading floor lamp</t>
  </si>
  <si>
    <t>Rug</t>
  </si>
  <si>
    <t>Good quality, 10 years</t>
  </si>
  <si>
    <t>John Lewis Orkney Loop Pile Rug, silver, 240cmx170cm</t>
  </si>
  <si>
    <t>Table and 6 chairs</t>
  </si>
  <si>
    <t>Julian Bowen Astoria Extending 6 seater dining table and Hereford chairs set</t>
  </si>
  <si>
    <t>Dining table and chairs</t>
  </si>
  <si>
    <t>6 tablemats, £20 last 25 years</t>
  </si>
  <si>
    <t>Set of 4 Gardenia Grey Floral Placemats</t>
  </si>
  <si>
    <t>6 coasters, 25 years</t>
  </si>
  <si>
    <t>Set of 4 painted wooden coasters</t>
  </si>
  <si>
    <t>2x4 place settings, £100, 6 years</t>
  </si>
  <si>
    <t>John Lewis ANYDAY Dine Coupe Dinnerware set, 12 piece</t>
  </si>
  <si>
    <t xml:space="preserve">8 mugs, lasting 6 years. </t>
  </si>
  <si>
    <t>John Lewis ANYDAY Craft Speckle Glaxze Mugs</t>
  </si>
  <si>
    <t>24 piece set, 25 years</t>
  </si>
  <si>
    <t>Foxton 24 piece cutlery set</t>
  </si>
  <si>
    <t xml:space="preserve">8 tall glasses and 8 wine glasses 2 years </t>
  </si>
  <si>
    <t>POKAL</t>
  </si>
  <si>
    <t xml:space="preserve">8 tall glasses and 8 wine glasses.2 years </t>
  </si>
  <si>
    <t>DYRGRIP</t>
  </si>
  <si>
    <t>Sideboard</t>
  </si>
  <si>
    <t>Sideboard to match dining table, 25 years</t>
  </si>
  <si>
    <t>Julian Bowen Astoria solid oak sideboard</t>
  </si>
  <si>
    <t>Replace once in retirement, 30 years, including floor and lighting</t>
  </si>
  <si>
    <t>Replaced when kitchen replaced</t>
  </si>
  <si>
    <t>Cheapest A rated, 10 years</t>
  </si>
  <si>
    <t>LG Centum GBB92MCBAP 70/30 Fridge Freezer</t>
  </si>
  <si>
    <t>Dishwasher</t>
  </si>
  <si>
    <t>Tumble dryer</t>
  </si>
  <si>
    <t>Mid-range, Bosch, 10 years</t>
  </si>
  <si>
    <t>Bosch Series 2 SMS2ITWO8G</t>
  </si>
  <si>
    <t>Mid-range brand, 10 years</t>
  </si>
  <si>
    <t>AEG 6000 ProSense LFR61844B 8 kg 1400 spin</t>
  </si>
  <si>
    <t>AEGProSense T6DBG822N Condenser Tumble Dryer</t>
  </si>
  <si>
    <t>Approx £70 for kettle and toaster</t>
  </si>
  <si>
    <t>LOGIK L17SKR21 Jug kettle - red</t>
  </si>
  <si>
    <t>LOGIK LO4TR19 4-slice toaster - red and silver</t>
  </si>
  <si>
    <t>Small slow cooker, 10 years</t>
  </si>
  <si>
    <t>Salter Cosmos 3.5 Litre Oval Slow Cooker</t>
  </si>
  <si>
    <t>Air fryer</t>
  </si>
  <si>
    <t>Air fryer, 4.5 litres, 5 years</t>
  </si>
  <si>
    <t>TOWER Vortx T17127GRY Air Fryer</t>
  </si>
  <si>
    <t>Cheapest digital, 10 years</t>
  </si>
  <si>
    <t>Russell Hobbs Stylevia RHM2026B Compact solo microwave</t>
  </si>
  <si>
    <t>Staineless steel set, 20 years</t>
  </si>
  <si>
    <t>John Lewis Shine Saucepan and frying pan set, 5 piece</t>
  </si>
  <si>
    <t>Scoville Knife Sharpener</t>
  </si>
  <si>
    <t>Approx. £10, 3 needed, 5 years</t>
  </si>
  <si>
    <t>Dunelm Professional 41cm Oven Tray</t>
  </si>
  <si>
    <t>2 needed, 5 years</t>
  </si>
  <si>
    <t>MasterClass Large Roasting Pan</t>
  </si>
  <si>
    <t>1 needed, 5 years</t>
  </si>
  <si>
    <t>Dunelm Framed Silicone Bun Tin</t>
  </si>
  <si>
    <t>Two shallow cake tins, spring form, non-stick, 5 years</t>
  </si>
  <si>
    <t>Dunelm Professional Springform Sandwich Tin</t>
  </si>
  <si>
    <t>Tala Performance 1lb Loaf Tin</t>
  </si>
  <si>
    <t>Set of solid plastic chopping boards, lasting 5 years.</t>
  </si>
  <si>
    <t>Thick wooden chopping board, 25 years</t>
  </si>
  <si>
    <t>T&amp;G Hevea Large End Grain Wood Chopping board</t>
  </si>
  <si>
    <t>Food mixer</t>
  </si>
  <si>
    <t>Supermarket brand Magimix-style, 25 years</t>
  </si>
  <si>
    <t>George Home Black 4L stand mixer</t>
  </si>
  <si>
    <t>Coffee maker</t>
  </si>
  <si>
    <t>Tassimo</t>
  </si>
  <si>
    <t>Bosch Tassimo Black Finesse Pod Coffee Machine</t>
  </si>
  <si>
    <t>Tassimo Coffee pods</t>
  </si>
  <si>
    <t>16 pods a week</t>
  </si>
  <si>
    <t>Tassimo Kenco 100% Colombian Coffee Pods</t>
  </si>
  <si>
    <t>3 compartments for recycling</t>
  </si>
  <si>
    <t>Stainless Steel 45L Low Recycling Bin</t>
  </si>
  <si>
    <t>Gtech AirRam MK2 Cordless Upright Vacuum Cleaner</t>
  </si>
  <si>
    <t>B&amp;Q/Wickes</t>
  </si>
  <si>
    <t>Once in retirement, replacing bath with walk-in shower</t>
  </si>
  <si>
    <t>Medicine cabinet with mirror, 10 years</t>
  </si>
  <si>
    <t>Sicily Grey Double-Door Mirror Cabinet</t>
  </si>
  <si>
    <t>Bed, kingsize</t>
  </si>
  <si>
    <t>Divan with storage</t>
  </si>
  <si>
    <t>Silentnight 2 drawer divan base king size</t>
  </si>
  <si>
    <t>Slientnight Selen Strutted Headboard</t>
  </si>
  <si>
    <t>£800-1000, 8 years</t>
  </si>
  <si>
    <t>Silentnight Revive and Geltex 2100 Mirapocket spring mattress</t>
  </si>
  <si>
    <t>Double wardrobe per person</t>
  </si>
  <si>
    <t>John Lewis Bow 2 door Wardrobe</t>
  </si>
  <si>
    <t>John Lewis Bow 1 drawer bedside table</t>
  </si>
  <si>
    <t>Two bedside tables, mathcing wardrobe</t>
  </si>
  <si>
    <t>John Lewis Bow 4 drawer chest</t>
  </si>
  <si>
    <t xml:space="preserve">Two bedside lamps. £50 for 2 </t>
  </si>
  <si>
    <t>John Lewis ANYDAY Kristy Touch Table Lamp</t>
  </si>
  <si>
    <t>4 needed, 200-400 thread count</t>
  </si>
  <si>
    <t>Hotel Cotton 230 Thread Count sateen fitted sheet</t>
  </si>
  <si>
    <t>Hotel Cotton 230 Thread Count sateen pillow case pair</t>
  </si>
  <si>
    <t>8 needed, 200-400 thread count</t>
  </si>
  <si>
    <t>Hotel Cotton 230 Thread Count sateen duvet cover</t>
  </si>
  <si>
    <t>Hotel Cotton 230 Thread Count sateen flat sheet</t>
  </si>
  <si>
    <t>Ottoman</t>
  </si>
  <si>
    <t>Verona Upholstered Ottoman in Grey</t>
  </si>
  <si>
    <t>Cheapest ottoman bed</t>
  </si>
  <si>
    <t>Waverley Linen Ottoman bed</t>
  </si>
  <si>
    <t>2 needed, 200-400 thread count</t>
  </si>
  <si>
    <t>Freestanding mirror, full length</t>
  </si>
  <si>
    <t>One bedside lamp</t>
  </si>
  <si>
    <t>IDÅSEN desk, 120X70cm</t>
  </si>
  <si>
    <t>Patio Table + chairs</t>
  </si>
  <si>
    <t>Patio Table cover</t>
  </si>
  <si>
    <t>Oil</t>
  </si>
  <si>
    <t>Ronseal</t>
  </si>
  <si>
    <t>Ronseal Clear Satin Outdoor varnish 2.5L</t>
  </si>
  <si>
    <t>Lounger chairs</t>
  </si>
  <si>
    <t>Parasol</t>
  </si>
  <si>
    <t>Wind up parasol, B&amp;Q, Homebase, 5 years</t>
  </si>
  <si>
    <t>Lawn mower</t>
  </si>
  <si>
    <t>Flymo</t>
  </si>
  <si>
    <t>Lawnmower Flymo brand, Approx. £90. 10 years.</t>
  </si>
  <si>
    <t>Flymo Easi Glide 300V Corded Hover Lawnmower</t>
  </si>
  <si>
    <t>BBQ</t>
  </si>
  <si>
    <t>Charcoal BBQ, Approx. £50 B&amp;Q, 10 years.</t>
  </si>
  <si>
    <t>Charcoal</t>
  </si>
  <si>
    <t>10kg charcoal per year</t>
  </si>
  <si>
    <t>Plants</t>
  </si>
  <si>
    <t>wooden patio table plus 6 chairs to mirror dining option inside. Plus cover + oil to refresh + care for wood. B&amp;Q, Homebase. 10 years.</t>
  </si>
  <si>
    <t>6 seater Deluxe Plumley Garden Furniture Set and Green cushions</t>
  </si>
  <si>
    <t>Outdoor weatheproof garden furniture cover, extra large</t>
  </si>
  <si>
    <t>Wooden lounger chairs approx, 2 needed for both couples + singles, 10 years</t>
  </si>
  <si>
    <t>Bantham teak Hardwood steamer lounger</t>
  </si>
  <si>
    <t>VonHaus Parasol, 2.7m</t>
  </si>
  <si>
    <t>Parasol base</t>
  </si>
  <si>
    <t>14KG garden round parasol base</t>
  </si>
  <si>
    <t>George Foreman Charcoal BBQ 22 inch</t>
  </si>
  <si>
    <t>CPL Restaurant grade charcoal, 12 kg</t>
  </si>
  <si>
    <t>Budget of £200 per year for plants, compost etc.</t>
  </si>
  <si>
    <t>Carpetright, Ashwell Textured Carpet £21.59sqm 4m roll, 2.36mx2.29m = 5.40m (4m roll will need 9.2m2) £198.65 + Blissful Carpet Underlay 10mm £112.71 + 13m of gripper £29.25 + Double Edge Aluminium Door Bar - 0.9lm £11.99 + fitting £49.90+ delivery £29.99 =£432.49</t>
  </si>
  <si>
    <t>Stairs/landing</t>
  </si>
  <si>
    <t>£20 sqm, would last 10 years, United carpets, carpetright, plus underlay and fitting (doorbars etc.</t>
  </si>
  <si>
    <t xml:space="preserve">Bedroom 1 </t>
  </si>
  <si>
    <t>Carpet, softer than stairs as less wear and tear, approx. £15 per sqm plus fitting, 10 years.</t>
  </si>
  <si>
    <t>Carpet Right, £14.99/sqm Kingston Saxony Carpet 4m roll, 4.19mx3.45m = 14.46m (4m roll will need 16.8m2) £251.83 + Delightful Carpet Underlay 7mm £137.43 + 17.3m of gripper £40.50 + Double Edge Aluminium Door Bar - 0.9lm £11.99 + fitting £83.83 + delivery £29.99 = £555.57</t>
  </si>
  <si>
    <t xml:space="preserve">Bedroom 2 </t>
  </si>
  <si>
    <t>Carpet Right, £14.99/sqm Kingston Saxony Carpet (Mercury) 4m roll, 3.58mx3.40m = 12.17m (4m roll will need 13.6m2) £203.86 + Delight Carpet Underlay 7mm £111.06 + 15m of gripper £33.75 + Double Edge Aluminium Door Bar - 0.9lm £11.99 + fitting £67.86 + delivery £29.99 = £458.51</t>
  </si>
  <si>
    <t>Carpet Right, £14.99/sqm Kingston Saxony Carpet (Mercury) 4m roll, 2.36mx2.29m = 5.40m (4m roll will need 9.22m) £137.91 + Delight Carpet Underlay 7mm £75.11 + 13m of gripper £29.25 + Double Edge Aluminium Door Bar - 0.9lm £11.99 + fitting £49.90+ delivery £29.99 = £334.15</t>
  </si>
  <si>
    <t>Engineered wood</t>
  </si>
  <si>
    <t>Runner</t>
  </si>
  <si>
    <t>Hallway runner, hard wearing approx. £50-100, Ikea, Carpetright, 10 years</t>
  </si>
  <si>
    <t>TIDTABE::, 80X200 cm</t>
  </si>
  <si>
    <t>Engineered wood, Carpet Right, £54.99/sqm Kahrs Lecco Satin Lacquer Wood Flooring 5.40m2 plus 5% wastage (each box consists of 3.4m2) 2 boxes needed (6.8m2) = £373.94 + Stepshield Underlay Wood &amp; Laminate 3mm, 6m2 needed £39.90 + £199.90 fitting + £29.99 delivery = £643.73</t>
  </si>
  <si>
    <t>Engineered wood, Carpet Right, £54.99/sqm Kahrs Lecco Satin Lacquer Wood Flooring 16m2 plus 5% wastage (each box consists of 3.4m2) 5 boxes needed (17m2) = £934.85 + Stepshield Underlay Wood &amp; Laminate 3mm, 16m2 needed £79.80 + £339.83 fitting + £29.99 delivery = £1384.47</t>
  </si>
  <si>
    <t xml:space="preserve">Engineered wood, Carpet Right, £54.99/sqm Kahrs Lecco Satin Lacquer Wood Flooring 13.54m2 plus 5% wastage (each box consists of 3.4m2) 4 boxes needed (13.6m2) = £747.88 + Stepshield Underlay Wood &amp; Laminate 3mm, 16m2 needed £79.80 + £271.86 fitting + £29.99 delivery = £1129.53 </t>
  </si>
  <si>
    <t>Mid-range engineered wood</t>
  </si>
  <si>
    <t>£25 per month, per person</t>
  </si>
  <si>
    <t>Comfortable 2023 Couple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</si>
</sst>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Red]\-&quot;£&quot;#,##0"/>
    <numFmt numFmtId="164" formatCode="&quot;£&quot;#,##0.00"/>
    <numFmt numFmtId="165" formatCode="0.0"/>
  </numFmts>
  <fonts count="25" x14ac:knownFonts="1">
    <font>
      <sz val="11"/>
      <color theme="1"/>
      <name val="Calibri"/>
      <family val="2"/>
      <scheme val="minor"/>
    </font>
    <font>
      <b/>
      <sz val="8"/>
      <name val="Arial"/>
      <family val="2"/>
    </font>
    <font>
      <sz val="8"/>
      <name val="Arial"/>
      <family val="2"/>
    </font>
    <font>
      <sz val="8"/>
      <color theme="1"/>
      <name val="Arial"/>
      <family val="2"/>
    </font>
    <font>
      <sz val="10"/>
      <name val="Arial"/>
      <family val="2"/>
    </font>
    <font>
      <sz val="8"/>
      <color theme="0" tint="-0.34998626667073579"/>
      <name val="Arial"/>
      <family val="2"/>
    </font>
    <font>
      <sz val="8"/>
      <color rgb="FF000000"/>
      <name val="Arial"/>
      <family val="2"/>
    </font>
    <font>
      <b/>
      <sz val="8"/>
      <color theme="1"/>
      <name val="Arial"/>
      <family val="2"/>
    </font>
    <font>
      <sz val="10"/>
      <name val="Arial"/>
      <family val="2"/>
    </font>
    <font>
      <sz val="10"/>
      <color theme="1"/>
      <name val="Arial"/>
      <family val="2"/>
    </font>
    <font>
      <sz val="8"/>
      <color rgb="FF262626"/>
      <name val="Arial"/>
      <family val="2"/>
    </font>
    <font>
      <u/>
      <sz val="11"/>
      <color theme="10"/>
      <name val="Calibri"/>
      <family val="2"/>
      <scheme val="minor"/>
    </font>
    <font>
      <sz val="8"/>
      <color rgb="FF191919"/>
      <name val="Arial"/>
      <family val="2"/>
    </font>
    <font>
      <u/>
      <sz val="10"/>
      <color theme="10"/>
      <name val="Arial"/>
      <family val="2"/>
    </font>
    <font>
      <b/>
      <sz val="11"/>
      <color theme="1"/>
      <name val="Calibri"/>
      <family val="2"/>
      <scheme val="minor"/>
    </font>
    <font>
      <sz val="8"/>
      <color rgb="FFFF0000"/>
      <name val="Arial"/>
      <family val="2"/>
    </font>
    <font>
      <b/>
      <sz val="8"/>
      <color rgb="FFFF0000"/>
      <name val="Arial"/>
      <family val="2"/>
    </font>
    <font>
      <b/>
      <sz val="8"/>
      <color rgb="FFEF2111"/>
      <name val="Arial"/>
      <family val="2"/>
    </font>
    <font>
      <b/>
      <sz val="11"/>
      <color rgb="FFFF0000"/>
      <name val="Calibri"/>
      <family val="2"/>
      <scheme val="minor"/>
    </font>
    <font>
      <sz val="8"/>
      <color theme="1"/>
      <name val="Calibri"/>
      <family val="2"/>
      <scheme val="minor"/>
    </font>
    <font>
      <b/>
      <sz val="12"/>
      <color theme="1"/>
      <name val="Arial"/>
      <family val="2"/>
    </font>
    <font>
      <b/>
      <sz val="11"/>
      <color theme="1"/>
      <name val="Arial"/>
      <family val="2"/>
    </font>
    <font>
      <sz val="11"/>
      <color theme="1"/>
      <name val="Arial"/>
      <family val="2"/>
    </font>
    <font>
      <sz val="8"/>
      <name val="Calibri"/>
      <family val="2"/>
      <scheme val="minor"/>
    </font>
    <font>
      <u/>
      <sz val="10"/>
      <color indexed="12"/>
      <name val="Arial"/>
      <family val="2"/>
    </font>
  </fonts>
  <fills count="2">
    <fill>
      <patternFill patternType="none"/>
    </fill>
    <fill>
      <patternFill patternType="gray125"/>
    </fill>
  </fills>
  <borders count="1">
    <border>
      <left/>
      <right/>
      <top/>
      <bottom/>
      <diagonal/>
    </border>
  </borders>
  <cellStyleXfs count="12">
    <xf numFmtId="0" fontId="0" fillId="0" borderId="0"/>
    <xf numFmtId="0" fontId="4" fillId="0" borderId="0"/>
    <xf numFmtId="0" fontId="4" fillId="0" borderId="0"/>
    <xf numFmtId="0" fontId="4" fillId="0" borderId="0"/>
    <xf numFmtId="0" fontId="8" fillId="0" borderId="0"/>
    <xf numFmtId="0" fontId="9" fillId="0" borderId="0"/>
    <xf numFmtId="0" fontId="11" fillId="0" borderId="0" applyNumberFormat="0" applyFill="0" applyBorder="0" applyAlignment="0" applyProtection="0"/>
    <xf numFmtId="0" fontId="13" fillId="0" borderId="0" applyNumberFormat="0" applyFill="0" applyBorder="0" applyAlignment="0" applyProtection="0"/>
    <xf numFmtId="0" fontId="4" fillId="0" borderId="0"/>
    <xf numFmtId="0" fontId="4" fillId="0" borderId="0"/>
    <xf numFmtId="0" fontId="9" fillId="0" borderId="0"/>
    <xf numFmtId="0" fontId="24" fillId="0" borderId="0" applyNumberFormat="0" applyFill="0" applyBorder="0" applyAlignment="0" applyProtection="0">
      <alignment vertical="top"/>
      <protection locked="0"/>
    </xf>
  </cellStyleXfs>
  <cellXfs count="138">
    <xf numFmtId="0" fontId="0" fillId="0" borderId="0" xfId="0"/>
    <xf numFmtId="0" fontId="2" fillId="0" borderId="0" xfId="6" applyFont="1" applyFill="1" applyAlignment="1">
      <alignment vertical="top" wrapText="1"/>
    </xf>
    <xf numFmtId="0" fontId="20" fillId="0" borderId="0" xfId="0" applyFont="1"/>
    <xf numFmtId="0" fontId="21" fillId="0" borderId="0" xfId="0" applyFont="1"/>
    <xf numFmtId="0" fontId="22" fillId="0" borderId="0" xfId="0" applyFont="1"/>
    <xf numFmtId="2" fontId="22" fillId="0" borderId="0" xfId="0" applyNumberFormat="1" applyFont="1"/>
    <xf numFmtId="0" fontId="2" fillId="0" borderId="0" xfId="0" applyFont="1" applyAlignment="1">
      <alignment horizontal="left" vertical="top"/>
    </xf>
    <xf numFmtId="0" fontId="2" fillId="0" borderId="0" xfId="0" applyFont="1" applyAlignment="1">
      <alignment horizontal="left" vertical="top" wrapText="1"/>
    </xf>
    <xf numFmtId="0" fontId="2" fillId="0" borderId="0" xfId="2" applyFont="1" applyAlignment="1">
      <alignment vertical="top" wrapText="1"/>
    </xf>
    <xf numFmtId="2" fontId="2" fillId="0" borderId="0" xfId="2" applyNumberFormat="1" applyFont="1" applyAlignment="1">
      <alignment vertical="top" wrapText="1"/>
    </xf>
    <xf numFmtId="0" fontId="2" fillId="0" borderId="0" xfId="1" applyFont="1" applyAlignment="1">
      <alignment vertical="top" wrapText="1"/>
    </xf>
    <xf numFmtId="0" fontId="2" fillId="0" borderId="0" xfId="1" applyFont="1" applyAlignment="1">
      <alignment horizontal="right" vertical="top" wrapText="1"/>
    </xf>
    <xf numFmtId="165" fontId="2" fillId="0" borderId="0" xfId="2" applyNumberFormat="1" applyFont="1" applyAlignment="1">
      <alignment vertical="top" wrapText="1"/>
    </xf>
    <xf numFmtId="2" fontId="2" fillId="0" borderId="0" xfId="0" applyNumberFormat="1" applyFont="1" applyAlignment="1">
      <alignment horizontal="right" vertical="top"/>
    </xf>
    <xf numFmtId="2" fontId="21" fillId="0" borderId="0" xfId="0" applyNumberFormat="1" applyFont="1"/>
    <xf numFmtId="0" fontId="1" fillId="0" borderId="0" xfId="0" applyFont="1" applyAlignment="1">
      <alignment vertical="top"/>
    </xf>
    <xf numFmtId="0" fontId="1" fillId="0" borderId="0" xfId="0" applyFont="1" applyAlignment="1">
      <alignment horizontal="left" vertical="top"/>
    </xf>
    <xf numFmtId="0" fontId="2" fillId="0" borderId="0" xfId="0" applyFont="1" applyAlignment="1">
      <alignment vertical="top"/>
    </xf>
    <xf numFmtId="0" fontId="2" fillId="0" borderId="0" xfId="0" applyFont="1" applyAlignment="1">
      <alignment vertical="top" wrapText="1"/>
    </xf>
    <xf numFmtId="2" fontId="2" fillId="0" borderId="0" xfId="0" applyNumberFormat="1" applyFont="1" applyAlignment="1">
      <alignment vertical="top"/>
    </xf>
    <xf numFmtId="0" fontId="1" fillId="0" borderId="0" xfId="1" applyFont="1" applyAlignment="1">
      <alignment vertical="top"/>
    </xf>
    <xf numFmtId="0" fontId="1" fillId="0" borderId="0" xfId="1" applyFont="1" applyAlignment="1">
      <alignment horizontal="left" vertical="top"/>
    </xf>
    <xf numFmtId="0" fontId="1" fillId="0" borderId="0" xfId="1" applyFont="1" applyAlignment="1">
      <alignment vertical="top" wrapText="1"/>
    </xf>
    <xf numFmtId="2" fontId="1" fillId="0" borderId="0" xfId="1" applyNumberFormat="1" applyFont="1" applyAlignment="1">
      <alignment vertical="top" wrapText="1"/>
    </xf>
    <xf numFmtId="2" fontId="2" fillId="0" borderId="0" xfId="1" applyNumberFormat="1" applyFont="1" applyAlignment="1">
      <alignment vertical="top" wrapText="1"/>
    </xf>
    <xf numFmtId="0" fontId="1" fillId="0" borderId="0" xfId="0" applyFont="1" applyAlignment="1">
      <alignment horizontal="left" vertical="top" wrapText="1"/>
    </xf>
    <xf numFmtId="0" fontId="1" fillId="0" borderId="0" xfId="1" applyFont="1" applyAlignment="1">
      <alignment horizontal="left" vertical="top" wrapText="1"/>
    </xf>
    <xf numFmtId="2" fontId="1" fillId="0" borderId="0" xfId="1" applyNumberFormat="1" applyFont="1" applyAlignment="1">
      <alignment horizontal="left" vertical="top" wrapText="1"/>
    </xf>
    <xf numFmtId="0" fontId="2" fillId="0" borderId="0" xfId="1" applyFont="1" applyAlignment="1">
      <alignment horizontal="left" vertical="top" wrapText="1"/>
    </xf>
    <xf numFmtId="0" fontId="2" fillId="0" borderId="0" xfId="2" applyFont="1" applyAlignment="1">
      <alignment horizontal="left" vertical="top" wrapText="1"/>
    </xf>
    <xf numFmtId="2" fontId="2" fillId="0" borderId="0" xfId="2" applyNumberFormat="1" applyFont="1" applyAlignment="1">
      <alignment horizontal="right" vertical="top" wrapText="1"/>
    </xf>
    <xf numFmtId="2" fontId="2" fillId="0" borderId="0" xfId="2" applyNumberFormat="1" applyFont="1" applyAlignment="1">
      <alignment horizontal="left" vertical="top" wrapText="1"/>
    </xf>
    <xf numFmtId="0" fontId="2" fillId="0" borderId="0" xfId="2" applyFont="1" applyAlignment="1">
      <alignment horizontal="right" vertical="top" wrapText="1"/>
    </xf>
    <xf numFmtId="165" fontId="2" fillId="0" borderId="0" xfId="2" applyNumberFormat="1" applyFont="1" applyAlignment="1">
      <alignment horizontal="right" vertical="top" wrapText="1"/>
    </xf>
    <xf numFmtId="165" fontId="2" fillId="0" borderId="0" xfId="0" applyNumberFormat="1" applyFont="1" applyAlignment="1">
      <alignment horizontal="right" vertical="top"/>
    </xf>
    <xf numFmtId="0" fontId="2" fillId="0" borderId="0" xfId="0" applyFont="1" applyAlignment="1">
      <alignment horizontal="right" vertical="top"/>
    </xf>
    <xf numFmtId="1" fontId="2" fillId="0" borderId="0" xfId="0" applyNumberFormat="1" applyFont="1" applyAlignment="1">
      <alignment horizontal="right" vertical="top"/>
    </xf>
    <xf numFmtId="0" fontId="10" fillId="0" borderId="0" xfId="0" applyFont="1" applyAlignment="1">
      <alignment vertical="top" wrapText="1"/>
    </xf>
    <xf numFmtId="0" fontId="6" fillId="0" borderId="0" xfId="0" applyFont="1" applyAlignment="1">
      <alignment vertical="top" wrapText="1"/>
    </xf>
    <xf numFmtId="0" fontId="3" fillId="0" borderId="0" xfId="0" applyFont="1" applyAlignment="1">
      <alignment vertical="top" wrapText="1"/>
    </xf>
    <xf numFmtId="2" fontId="3" fillId="0" borderId="0" xfId="0" applyNumberFormat="1" applyFont="1" applyAlignment="1">
      <alignment vertical="top" wrapText="1"/>
    </xf>
    <xf numFmtId="1" fontId="2" fillId="0" borderId="0" xfId="2" applyNumberFormat="1" applyFont="1" applyAlignment="1">
      <alignment horizontal="right" vertical="top" wrapText="1"/>
    </xf>
    <xf numFmtId="2" fontId="2" fillId="0" borderId="0" xfId="1" applyNumberFormat="1" applyFont="1" applyAlignment="1">
      <alignment horizontal="right" vertical="top" wrapText="1"/>
    </xf>
    <xf numFmtId="1" fontId="2" fillId="0" borderId="0" xfId="1" applyNumberFormat="1" applyFont="1" applyAlignment="1">
      <alignment horizontal="right" vertical="top" wrapText="1"/>
    </xf>
    <xf numFmtId="165" fontId="2" fillId="0" borderId="0" xfId="1" applyNumberFormat="1" applyFont="1" applyAlignment="1">
      <alignment vertical="top" wrapText="1"/>
    </xf>
    <xf numFmtId="165" fontId="2" fillId="0" borderId="0" xfId="1" applyNumberFormat="1" applyFont="1" applyAlignment="1">
      <alignment horizontal="right" vertical="top" wrapText="1"/>
    </xf>
    <xf numFmtId="1" fontId="2" fillId="0" borderId="0" xfId="1" applyNumberFormat="1" applyFont="1" applyAlignment="1">
      <alignment vertical="top" wrapText="1"/>
    </xf>
    <xf numFmtId="0" fontId="2" fillId="0" borderId="0" xfId="1" quotePrefix="1" applyFont="1" applyAlignment="1">
      <alignment vertical="top" wrapText="1"/>
    </xf>
    <xf numFmtId="1" fontId="2" fillId="0" borderId="0" xfId="2" applyNumberFormat="1" applyFont="1" applyAlignment="1">
      <alignment vertical="top" wrapText="1"/>
    </xf>
    <xf numFmtId="0" fontId="3" fillId="0" borderId="0" xfId="0" applyFont="1"/>
    <xf numFmtId="0" fontId="3" fillId="0" borderId="0" xfId="0" applyFont="1" applyAlignment="1">
      <alignment horizontal="left" vertical="top"/>
    </xf>
    <xf numFmtId="0" fontId="6" fillId="0" borderId="0" xfId="0" applyFont="1" applyAlignment="1">
      <alignment horizontal="left" vertical="top"/>
    </xf>
    <xf numFmtId="0" fontId="2" fillId="0" borderId="0" xfId="0" applyFont="1" applyAlignment="1">
      <alignment vertical="center" wrapText="1"/>
    </xf>
    <xf numFmtId="0" fontId="6" fillId="0" borderId="0" xfId="0" applyFont="1" applyAlignment="1">
      <alignment horizontal="left" vertical="top" wrapText="1"/>
    </xf>
    <xf numFmtId="0" fontId="2" fillId="0" borderId="0" xfId="0" applyFont="1" applyAlignment="1">
      <alignment horizontal="left" vertical="top" wrapText="1" indent="1"/>
    </xf>
    <xf numFmtId="0" fontId="2" fillId="0" borderId="0" xfId="0" applyFont="1" applyAlignment="1">
      <alignment horizontal="left" vertical="center" wrapText="1" indent="1"/>
    </xf>
    <xf numFmtId="2" fontId="2" fillId="0" borderId="0" xfId="0" applyNumberFormat="1" applyFont="1" applyAlignment="1">
      <alignment horizontal="left" vertical="top" wrapText="1"/>
    </xf>
    <xf numFmtId="0" fontId="6" fillId="0" borderId="0" xfId="0" applyFont="1" applyAlignment="1">
      <alignment vertical="top"/>
    </xf>
    <xf numFmtId="0" fontId="3" fillId="0" borderId="0" xfId="0" applyFont="1" applyAlignment="1">
      <alignment horizontal="left" vertical="top" wrapText="1"/>
    </xf>
    <xf numFmtId="0" fontId="4" fillId="0" borderId="0" xfId="0" applyFont="1"/>
    <xf numFmtId="0" fontId="12" fillId="0" borderId="0" xfId="0" applyFont="1" applyAlignment="1">
      <alignment vertical="top" wrapText="1"/>
    </xf>
    <xf numFmtId="0" fontId="2" fillId="0" borderId="0" xfId="1" applyFont="1" applyAlignment="1">
      <alignment vertical="top"/>
    </xf>
    <xf numFmtId="0" fontId="3" fillId="0" borderId="0" xfId="0" applyFont="1" applyAlignment="1">
      <alignment horizontal="right" vertical="top"/>
    </xf>
    <xf numFmtId="2" fontId="0" fillId="0" borderId="0" xfId="0" applyNumberFormat="1"/>
    <xf numFmtId="2" fontId="3" fillId="0" borderId="0" xfId="0" applyNumberFormat="1" applyFont="1"/>
    <xf numFmtId="0" fontId="7" fillId="0" borderId="0" xfId="0" applyFont="1" applyAlignment="1">
      <alignment vertical="top"/>
    </xf>
    <xf numFmtId="0" fontId="7" fillId="0" borderId="0" xfId="0" applyFont="1" applyAlignment="1">
      <alignment vertical="top" wrapText="1"/>
    </xf>
    <xf numFmtId="0" fontId="1" fillId="0" borderId="0" xfId="3" applyFont="1" applyAlignment="1">
      <alignment vertical="top" wrapText="1"/>
    </xf>
    <xf numFmtId="0" fontId="2" fillId="0" borderId="0" xfId="5" applyFont="1" applyAlignment="1">
      <alignment vertical="top"/>
    </xf>
    <xf numFmtId="0" fontId="2" fillId="0" borderId="0" xfId="5" applyFont="1" applyAlignment="1">
      <alignment horizontal="left" vertical="top"/>
    </xf>
    <xf numFmtId="0" fontId="3" fillId="0" borderId="0" xfId="0" applyFont="1" applyAlignment="1">
      <alignment vertical="top"/>
    </xf>
    <xf numFmtId="0" fontId="3" fillId="0" borderId="0" xfId="5" applyFont="1" applyAlignment="1">
      <alignment vertical="top" wrapText="1"/>
    </xf>
    <xf numFmtId="0" fontId="3" fillId="0" borderId="0" xfId="5" applyFont="1" applyAlignment="1">
      <alignment vertical="top"/>
    </xf>
    <xf numFmtId="2" fontId="3" fillId="0" borderId="0" xfId="5" applyNumberFormat="1" applyFont="1" applyAlignment="1">
      <alignment horizontal="right" vertical="top"/>
    </xf>
    <xf numFmtId="0" fontId="3" fillId="0" borderId="0" xfId="5" applyFont="1" applyAlignment="1">
      <alignment horizontal="right" vertical="top"/>
    </xf>
    <xf numFmtId="165" fontId="2" fillId="0" borderId="0" xfId="5" applyNumberFormat="1" applyFont="1" applyAlignment="1">
      <alignment horizontal="right" vertical="top" wrapText="1"/>
    </xf>
    <xf numFmtId="2" fontId="3" fillId="0" borderId="0" xfId="5" applyNumberFormat="1" applyFont="1" applyAlignment="1">
      <alignment vertical="top"/>
    </xf>
    <xf numFmtId="165" fontId="2" fillId="0" borderId="0" xfId="5" applyNumberFormat="1" applyFont="1" applyAlignment="1">
      <alignment vertical="top" wrapText="1"/>
    </xf>
    <xf numFmtId="0" fontId="3" fillId="0" borderId="0" xfId="5" applyFont="1" applyAlignment="1">
      <alignment horizontal="left" vertical="top"/>
    </xf>
    <xf numFmtId="0" fontId="2" fillId="0" borderId="0" xfId="5" applyFont="1" applyAlignment="1">
      <alignment vertical="top" wrapText="1"/>
    </xf>
    <xf numFmtId="0" fontId="7" fillId="0" borderId="0" xfId="0" applyFont="1" applyAlignment="1">
      <alignment horizontal="left" vertical="top"/>
    </xf>
    <xf numFmtId="0" fontId="0" fillId="0" borderId="0" xfId="0" applyAlignment="1">
      <alignment horizontal="left" vertical="top"/>
    </xf>
    <xf numFmtId="0" fontId="0" fillId="0" borderId="0" xfId="0" applyAlignment="1">
      <alignment horizontal="left" vertical="top" wrapText="1"/>
    </xf>
    <xf numFmtId="0" fontId="15" fillId="0" borderId="0" xfId="0" applyFont="1" applyAlignment="1">
      <alignment horizontal="left" vertical="top" wrapText="1"/>
    </xf>
    <xf numFmtId="0" fontId="14" fillId="0" borderId="0" xfId="0" applyFont="1"/>
    <xf numFmtId="2" fontId="1" fillId="0" borderId="0" xfId="0" applyNumberFormat="1" applyFont="1" applyAlignment="1">
      <alignment horizontal="left" vertical="top" wrapText="1"/>
    </xf>
    <xf numFmtId="0" fontId="16" fillId="0" borderId="0" xfId="0" applyFont="1" applyAlignment="1">
      <alignment horizontal="left" vertical="top" wrapText="1"/>
    </xf>
    <xf numFmtId="0" fontId="19" fillId="0" borderId="0" xfId="0" applyFont="1"/>
    <xf numFmtId="0" fontId="19" fillId="0" borderId="0" xfId="0" applyFont="1" applyAlignment="1">
      <alignment horizontal="left" vertical="top"/>
    </xf>
    <xf numFmtId="2" fontId="3" fillId="0" borderId="0" xfId="0" applyNumberFormat="1" applyFont="1" applyAlignment="1">
      <alignment horizontal="right" vertical="top"/>
    </xf>
    <xf numFmtId="165" fontId="3" fillId="0" borderId="0" xfId="0" applyNumberFormat="1" applyFont="1" applyAlignment="1">
      <alignment horizontal="right" vertical="top"/>
    </xf>
    <xf numFmtId="2" fontId="3" fillId="0" borderId="0" xfId="0" applyNumberFormat="1" applyFont="1" applyAlignment="1">
      <alignment horizontal="right" vertical="top" wrapText="1"/>
    </xf>
    <xf numFmtId="0" fontId="3" fillId="0" borderId="0" xfId="0" applyFont="1" applyAlignment="1">
      <alignment horizontal="right" vertical="top" wrapText="1"/>
    </xf>
    <xf numFmtId="0" fontId="15" fillId="0" borderId="0" xfId="0" applyFont="1" applyAlignment="1">
      <alignment vertical="top" wrapText="1"/>
    </xf>
    <xf numFmtId="0" fontId="17" fillId="0" borderId="0" xfId="0" applyFont="1" applyAlignment="1">
      <alignment vertical="top" wrapText="1"/>
    </xf>
    <xf numFmtId="1" fontId="3" fillId="0" borderId="0" xfId="0" applyNumberFormat="1" applyFont="1" applyAlignment="1">
      <alignment horizontal="right" vertical="top"/>
    </xf>
    <xf numFmtId="2" fontId="2" fillId="0" borderId="0" xfId="0" applyNumberFormat="1" applyFont="1" applyAlignment="1">
      <alignment horizontal="right" vertical="top" wrapText="1"/>
    </xf>
    <xf numFmtId="0" fontId="2" fillId="0" borderId="0" xfId="0" applyFont="1" applyAlignment="1">
      <alignment horizontal="right" vertical="top" wrapText="1"/>
    </xf>
    <xf numFmtId="165" fontId="2" fillId="0" borderId="0" xfId="0" applyNumberFormat="1" applyFont="1" applyAlignment="1">
      <alignment horizontal="right" vertical="top" wrapText="1"/>
    </xf>
    <xf numFmtId="6" fontId="2" fillId="0" borderId="0" xfId="0" applyNumberFormat="1" applyFont="1" applyAlignment="1">
      <alignment horizontal="left" vertical="top" wrapText="1"/>
    </xf>
    <xf numFmtId="2" fontId="3" fillId="0" borderId="0" xfId="0" applyNumberFormat="1" applyFont="1" applyAlignment="1">
      <alignment horizontal="left" vertical="top"/>
    </xf>
    <xf numFmtId="0" fontId="2" fillId="0" borderId="0" xfId="1" quotePrefix="1" applyFont="1" applyAlignment="1">
      <alignment horizontal="left" vertical="top" wrapText="1"/>
    </xf>
    <xf numFmtId="0" fontId="16" fillId="0" borderId="0" xfId="1" applyFont="1" applyAlignment="1">
      <alignment horizontal="left" vertical="top" wrapText="1"/>
    </xf>
    <xf numFmtId="0" fontId="3" fillId="0" borderId="0" xfId="0" applyFont="1" applyAlignment="1">
      <alignment wrapText="1"/>
    </xf>
    <xf numFmtId="165" fontId="3" fillId="0" borderId="0" xfId="0" applyNumberFormat="1" applyFont="1"/>
    <xf numFmtId="2" fontId="2" fillId="0" borderId="0" xfId="2" applyNumberFormat="1" applyFont="1" applyAlignment="1">
      <alignment horizontal="right" wrapText="1"/>
    </xf>
    <xf numFmtId="2" fontId="2" fillId="0" borderId="0" xfId="1" applyNumberFormat="1" applyFont="1" applyAlignment="1">
      <alignment horizontal="left" vertical="top" wrapText="1"/>
    </xf>
    <xf numFmtId="0" fontId="0" fillId="0" borderId="0" xfId="0" applyAlignment="1">
      <alignment wrapText="1"/>
    </xf>
    <xf numFmtId="0" fontId="2" fillId="0" borderId="0" xfId="1" applyFont="1" applyAlignment="1">
      <alignment horizontal="left" vertical="top"/>
    </xf>
    <xf numFmtId="0" fontId="5" fillId="0" borderId="0" xfId="2" applyFont="1" applyAlignment="1">
      <alignment horizontal="left" vertical="top" wrapText="1"/>
    </xf>
    <xf numFmtId="0" fontId="5" fillId="0" borderId="0" xfId="2" applyFont="1" applyAlignment="1">
      <alignment vertical="top" wrapText="1"/>
    </xf>
    <xf numFmtId="165" fontId="3" fillId="0" borderId="0" xfId="0" applyNumberFormat="1" applyFont="1" applyAlignment="1">
      <alignment vertical="top" wrapText="1"/>
    </xf>
    <xf numFmtId="164" fontId="3" fillId="0" borderId="0" xfId="0" applyNumberFormat="1" applyFont="1" applyAlignment="1">
      <alignment vertical="top" wrapText="1"/>
    </xf>
    <xf numFmtId="1" fontId="2" fillId="0" borderId="0" xfId="0" applyNumberFormat="1" applyFont="1" applyAlignment="1">
      <alignment vertical="top"/>
    </xf>
    <xf numFmtId="165" fontId="2" fillId="0" borderId="0" xfId="0" applyNumberFormat="1" applyFont="1" applyAlignment="1">
      <alignment vertical="top"/>
    </xf>
    <xf numFmtId="0" fontId="5" fillId="0" borderId="0" xfId="0" applyFont="1" applyAlignment="1">
      <alignment vertical="top" wrapText="1"/>
    </xf>
    <xf numFmtId="0" fontId="5" fillId="0" borderId="0" xfId="0" applyFont="1" applyAlignment="1">
      <alignment vertical="top"/>
    </xf>
    <xf numFmtId="0" fontId="2" fillId="0" borderId="0" xfId="3" applyFont="1" applyAlignment="1">
      <alignment vertical="top" wrapText="1"/>
    </xf>
    <xf numFmtId="0" fontId="2" fillId="0" borderId="0" xfId="0" applyFont="1" applyAlignment="1">
      <alignment horizontal="left" vertical="center" wrapText="1"/>
    </xf>
    <xf numFmtId="2" fontId="3" fillId="0" borderId="0" xfId="0" applyNumberFormat="1" applyFont="1" applyAlignment="1">
      <alignment vertical="center"/>
    </xf>
    <xf numFmtId="0" fontId="18" fillId="0" borderId="0" xfId="0" applyFont="1"/>
    <xf numFmtId="2" fontId="1" fillId="0" borderId="0" xfId="1" applyNumberFormat="1" applyFont="1" applyAlignment="1">
      <alignment horizontal="right" vertical="top" wrapText="1"/>
    </xf>
    <xf numFmtId="0" fontId="1" fillId="0" borderId="0" xfId="1" applyFont="1" applyAlignment="1">
      <alignment horizontal="right" vertical="top" wrapText="1"/>
    </xf>
    <xf numFmtId="0" fontId="0" fillId="0" borderId="0" xfId="0" applyAlignment="1">
      <alignment horizontal="right"/>
    </xf>
    <xf numFmtId="0" fontId="1" fillId="0" borderId="0" xfId="0" applyFont="1" applyAlignment="1">
      <alignment horizontal="right" vertical="top"/>
    </xf>
    <xf numFmtId="0" fontId="1" fillId="0" borderId="0" xfId="1" applyFont="1" applyAlignment="1">
      <alignment horizontal="right" vertical="top"/>
    </xf>
    <xf numFmtId="0" fontId="2" fillId="0" borderId="0" xfId="7" applyFont="1" applyFill="1" applyAlignment="1">
      <alignment horizontal="left" vertical="top" wrapText="1"/>
    </xf>
    <xf numFmtId="0" fontId="5" fillId="0" borderId="0" xfId="0" applyFont="1" applyAlignment="1">
      <alignment horizontal="left" vertical="top"/>
    </xf>
    <xf numFmtId="0" fontId="5" fillId="0" borderId="0" xfId="0" applyFont="1" applyAlignment="1">
      <alignment horizontal="left" vertical="top" wrapText="1"/>
    </xf>
    <xf numFmtId="2" fontId="3" fillId="0" borderId="0" xfId="0" applyNumberFormat="1" applyFont="1" applyAlignment="1">
      <alignment vertical="top"/>
    </xf>
    <xf numFmtId="2" fontId="2" fillId="0" borderId="0" xfId="1" applyNumberFormat="1" applyFont="1" applyAlignment="1">
      <alignment horizontal="right" vertical="top"/>
    </xf>
    <xf numFmtId="0" fontId="2" fillId="0" borderId="0" xfId="1" applyFont="1" applyAlignment="1">
      <alignment horizontal="right" vertical="top"/>
    </xf>
    <xf numFmtId="1" fontId="2" fillId="0" borderId="0" xfId="1" applyNumberFormat="1" applyFont="1" applyAlignment="1">
      <alignment horizontal="right" vertical="top"/>
    </xf>
    <xf numFmtId="165" fontId="2" fillId="0" borderId="0" xfId="1" applyNumberFormat="1" applyFont="1" applyAlignment="1">
      <alignment horizontal="right" vertical="top"/>
    </xf>
    <xf numFmtId="0" fontId="2" fillId="0" borderId="0" xfId="2" applyFont="1" applyAlignment="1">
      <alignment horizontal="left" vertical="top"/>
    </xf>
    <xf numFmtId="2" fontId="2" fillId="0" borderId="0" xfId="2" applyNumberFormat="1" applyFont="1" applyAlignment="1">
      <alignment horizontal="right" vertical="top"/>
    </xf>
    <xf numFmtId="1" fontId="2" fillId="0" borderId="0" xfId="2" applyNumberFormat="1" applyFont="1" applyAlignment="1">
      <alignment horizontal="right" vertical="top"/>
    </xf>
    <xf numFmtId="165" fontId="2" fillId="0" borderId="0" xfId="2" applyNumberFormat="1" applyFont="1" applyAlignment="1">
      <alignment horizontal="right" vertical="top"/>
    </xf>
  </cellXfs>
  <cellStyles count="12">
    <cellStyle name="Hyperlink" xfId="6" builtinId="8"/>
    <cellStyle name="Hyperlink 2" xfId="7" xr:uid="{5B5A79DF-1225-4B44-BB04-CFAC97B1C74E}"/>
    <cellStyle name="Hyperlink 2 2" xfId="11" xr:uid="{8C1E77BF-33E2-5643-8E0A-ED6EBBBAB228}"/>
    <cellStyle name="Normal" xfId="0" builtinId="0"/>
    <cellStyle name="Normal 2" xfId="1" xr:uid="{4FD385AB-6C38-4E0B-A3B9-1CDF73FE8DB1}"/>
    <cellStyle name="Normal 2 2" xfId="2" xr:uid="{C466EB92-00EB-4114-A012-59AAFA6C3479}"/>
    <cellStyle name="Normal 2 3" xfId="8" xr:uid="{9E4F293A-87EF-46E6-B2DE-A9EA0B903E2B}"/>
    <cellStyle name="Normal 2 4" xfId="10" xr:uid="{CBFD0431-5977-9846-9676-CCA69BBD7A05}"/>
    <cellStyle name="Normal 3" xfId="3" xr:uid="{04DCE82E-8B5A-40D5-B39C-C354213CC9E7}"/>
    <cellStyle name="Normal 4" xfId="4" xr:uid="{7EF14C96-2DF1-4363-AD05-F2D97379445D}"/>
    <cellStyle name="Normal 4 2" xfId="9" xr:uid="{DCB0137D-A1D6-D24D-88DF-927F0903A9EA}"/>
    <cellStyle name="Normal 6" xfId="5" xr:uid="{9254FA01-0A68-4280-B03B-F5F529B8C5F0}"/>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s1.lboro.ac.uk/PROJECTS/MIS%20+/MIS%202010-2014/MIS%202012/Spreadsheets/Master%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s"/>
      <sheetName val="A"/>
      <sheetName val="B"/>
      <sheetName val="C"/>
      <sheetName val="D"/>
      <sheetName val="E"/>
      <sheetName val="F"/>
      <sheetName val="G"/>
      <sheetName val="H"/>
    </sheetNames>
    <sheetDataSet>
      <sheetData sheetId="0" refreshError="1"/>
      <sheetData sheetId="1" refreshError="1">
        <row r="10">
          <cell r="F10">
            <v>2.4874999999999998</v>
          </cell>
        </row>
        <row r="11">
          <cell r="F11">
            <v>2.3819178082191783</v>
          </cell>
        </row>
        <row r="12">
          <cell r="F12">
            <v>4.8694178082191781</v>
          </cell>
        </row>
      </sheetData>
      <sheetData sheetId="2" refreshError="1">
        <row r="11">
          <cell r="F11">
            <v>2.5197123287671235</v>
          </cell>
        </row>
        <row r="12">
          <cell r="F12">
            <v>1.9950000000000001</v>
          </cell>
        </row>
        <row r="13">
          <cell r="F13">
            <v>0.52471232876712326</v>
          </cell>
        </row>
        <row r="14">
          <cell r="F14">
            <v>0</v>
          </cell>
        </row>
        <row r="15">
          <cell r="F15">
            <v>2.5197123287671235</v>
          </cell>
        </row>
      </sheetData>
      <sheetData sheetId="3" refreshError="1">
        <row r="14">
          <cell r="F14">
            <v>0.21076712328767122</v>
          </cell>
        </row>
      </sheetData>
      <sheetData sheetId="4" refreshError="1">
        <row r="9">
          <cell r="E9">
            <v>0</v>
          </cell>
        </row>
        <row r="10">
          <cell r="E10">
            <v>186.32</v>
          </cell>
        </row>
        <row r="11">
          <cell r="E11">
            <v>0.11602739726027396</v>
          </cell>
        </row>
        <row r="12">
          <cell r="E12">
            <v>186.43602739726026</v>
          </cell>
        </row>
        <row r="13">
          <cell r="E13">
            <v>0</v>
          </cell>
        </row>
        <row r="14">
          <cell r="E14">
            <v>0</v>
          </cell>
        </row>
        <row r="15">
          <cell r="E15">
            <v>0</v>
          </cell>
        </row>
      </sheetData>
      <sheetData sheetId="5" refreshError="1">
        <row r="15">
          <cell r="F15">
            <v>6.8964383561643833E-2</v>
          </cell>
        </row>
        <row r="16">
          <cell r="F16">
            <v>0</v>
          </cell>
        </row>
        <row r="17">
          <cell r="F17">
            <v>0</v>
          </cell>
        </row>
        <row r="18">
          <cell r="F18">
            <v>0</v>
          </cell>
        </row>
        <row r="19">
          <cell r="F19">
            <v>0</v>
          </cell>
        </row>
        <row r="20">
          <cell r="F20">
            <v>0</v>
          </cell>
        </row>
        <row r="21">
          <cell r="F21">
            <v>0</v>
          </cell>
        </row>
        <row r="22">
          <cell r="F22">
            <v>6.8964383561643833E-2</v>
          </cell>
        </row>
      </sheetData>
      <sheetData sheetId="6" refreshError="1">
        <row r="8">
          <cell r="F8">
            <v>0.5523287671232876</v>
          </cell>
        </row>
      </sheetData>
      <sheetData sheetId="7" refreshError="1">
        <row r="13">
          <cell r="F13">
            <v>52.372691780821924</v>
          </cell>
        </row>
        <row r="14">
          <cell r="F14">
            <v>0</v>
          </cell>
        </row>
        <row r="15">
          <cell r="F15">
            <v>52.372691780821924</v>
          </cell>
        </row>
      </sheetData>
      <sheetData sheetId="8" refreshError="1">
        <row r="16">
          <cell r="F16">
            <v>1.9904931506849317</v>
          </cell>
        </row>
        <row r="17">
          <cell r="F17">
            <v>0</v>
          </cell>
        </row>
        <row r="18">
          <cell r="F18">
            <v>0.10835616438356165</v>
          </cell>
        </row>
        <row r="19">
          <cell r="F19">
            <v>0</v>
          </cell>
        </row>
        <row r="20">
          <cell r="F20">
            <v>0</v>
          </cell>
        </row>
        <row r="21">
          <cell r="F21">
            <v>0</v>
          </cell>
        </row>
        <row r="22">
          <cell r="F22">
            <v>2.0988493150684935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D6C59-9432-473F-8F4F-9BACECF88CDF}">
  <dimension ref="A1:I47"/>
  <sheetViews>
    <sheetView tabSelected="1" view="pageBreakPreview" zoomScale="70" zoomScaleNormal="70" zoomScaleSheetLayoutView="70" workbookViewId="0">
      <selection activeCell="B12" sqref="B12:E12"/>
    </sheetView>
  </sheetViews>
  <sheetFormatPr defaultColWidth="8.7109375" defaultRowHeight="14.25" x14ac:dyDescent="0.2"/>
  <cols>
    <col min="1" max="1" width="26" style="4" customWidth="1"/>
    <col min="2" max="3" width="8.7109375" style="4"/>
    <col min="4" max="4" width="22.42578125" style="4" customWidth="1"/>
    <col min="5" max="6" width="8.7109375" style="4"/>
    <col min="7" max="7" width="26.28515625" style="4" bestFit="1" customWidth="1"/>
    <col min="8" max="9" width="12" style="4" bestFit="1" customWidth="1"/>
    <col min="10" max="16384" width="8.7109375" style="4"/>
  </cols>
  <sheetData>
    <row r="1" spans="1:9" ht="15.75" x14ac:dyDescent="0.25">
      <c r="A1" s="2" t="s">
        <v>1368</v>
      </c>
      <c r="B1" s="3"/>
      <c r="C1" s="3"/>
      <c r="D1" s="3"/>
      <c r="E1" s="3"/>
    </row>
    <row r="2" spans="1:9" ht="15.75" x14ac:dyDescent="0.25">
      <c r="A2" s="2"/>
      <c r="B2" s="3"/>
      <c r="C2" s="3"/>
      <c r="D2" s="3"/>
      <c r="E2" s="3"/>
    </row>
    <row r="3" spans="1:9" ht="15.75" x14ac:dyDescent="0.25">
      <c r="A3" s="2" t="s">
        <v>846</v>
      </c>
      <c r="B3" s="3"/>
      <c r="C3" s="3"/>
      <c r="D3" s="3"/>
      <c r="E3" s="3"/>
    </row>
    <row r="4" spans="1:9" ht="15" x14ac:dyDescent="0.25">
      <c r="A4" s="3"/>
      <c r="B4" s="3"/>
      <c r="C4" s="3"/>
      <c r="D4" s="3"/>
      <c r="E4" s="3"/>
    </row>
    <row r="5" spans="1:9" x14ac:dyDescent="0.2">
      <c r="A5" s="4" t="s">
        <v>847</v>
      </c>
      <c r="B5" s="5"/>
      <c r="C5" s="5"/>
      <c r="D5" s="5"/>
      <c r="E5" s="5">
        <f>SUM(E6:E7)</f>
        <v>263.66717796178045</v>
      </c>
      <c r="G5" s="4" t="s">
        <v>828</v>
      </c>
      <c r="H5" s="5">
        <f>E5</f>
        <v>263.66717796178045</v>
      </c>
      <c r="I5" s="5"/>
    </row>
    <row r="6" spans="1:9" x14ac:dyDescent="0.2">
      <c r="B6" s="5" t="s">
        <v>848</v>
      </c>
      <c r="C6" s="5"/>
      <c r="D6" s="5"/>
      <c r="E6" s="5">
        <f>Food!E110</f>
        <v>130.6534793316435</v>
      </c>
      <c r="F6" s="5"/>
      <c r="G6" s="4" t="s">
        <v>829</v>
      </c>
      <c r="H6" s="5">
        <f>E9</f>
        <v>26.85</v>
      </c>
      <c r="I6" s="5"/>
    </row>
    <row r="7" spans="1:9" x14ac:dyDescent="0.2">
      <c r="B7" s="5" t="s">
        <v>849</v>
      </c>
      <c r="C7" s="5"/>
      <c r="D7" s="5"/>
      <c r="E7" s="5">
        <f>Food!E111</f>
        <v>133.01369863013699</v>
      </c>
      <c r="G7" s="4" t="s">
        <v>830</v>
      </c>
      <c r="H7" s="5">
        <f>E12</f>
        <v>0</v>
      </c>
      <c r="I7" s="5"/>
    </row>
    <row r="8" spans="1:9" x14ac:dyDescent="0.2">
      <c r="B8" s="5"/>
      <c r="C8" s="5"/>
      <c r="D8" s="5"/>
      <c r="E8" s="5"/>
      <c r="G8" s="4" t="s">
        <v>831</v>
      </c>
      <c r="H8" s="5">
        <f>E14</f>
        <v>47.945205479452056</v>
      </c>
      <c r="I8" s="5"/>
    </row>
    <row r="9" spans="1:9" x14ac:dyDescent="0.2">
      <c r="A9" s="4" t="s">
        <v>850</v>
      </c>
      <c r="B9" s="5" t="s">
        <v>851</v>
      </c>
      <c r="C9" s="5"/>
      <c r="D9" s="5"/>
      <c r="E9" s="5">
        <f>SUM(E10:E11)</f>
        <v>26.85</v>
      </c>
      <c r="G9" s="4" t="s">
        <v>56</v>
      </c>
      <c r="H9" s="5">
        <f>E17</f>
        <v>9.7100000000000009</v>
      </c>
      <c r="I9" s="5"/>
    </row>
    <row r="10" spans="1:9" x14ac:dyDescent="0.2">
      <c r="B10" s="5"/>
      <c r="C10" s="5" t="s">
        <v>852</v>
      </c>
      <c r="D10" s="5"/>
      <c r="E10" s="5">
        <f>Alcohol!F8</f>
        <v>26.85</v>
      </c>
      <c r="G10" s="4" t="s">
        <v>59</v>
      </c>
      <c r="H10" s="5">
        <f>E18</f>
        <v>36.84416438356164</v>
      </c>
      <c r="I10" s="5"/>
    </row>
    <row r="11" spans="1:9" x14ac:dyDescent="0.2">
      <c r="B11" s="5"/>
      <c r="C11" s="5" t="s">
        <v>853</v>
      </c>
      <c r="D11" s="5"/>
      <c r="E11" s="5">
        <f>Alcohol!F9</f>
        <v>0</v>
      </c>
      <c r="G11" s="4" t="s">
        <v>832</v>
      </c>
      <c r="H11" s="5">
        <f>E19</f>
        <v>4.151671232876712</v>
      </c>
      <c r="I11" s="5"/>
    </row>
    <row r="12" spans="1:9" x14ac:dyDescent="0.2">
      <c r="B12" s="5"/>
      <c r="C12" s="5"/>
      <c r="D12" s="5"/>
      <c r="E12" s="5"/>
      <c r="G12" s="4" t="s">
        <v>63</v>
      </c>
      <c r="H12" s="5">
        <f>E20</f>
        <v>61.745714046301373</v>
      </c>
      <c r="I12" s="5"/>
    </row>
    <row r="13" spans="1:9" x14ac:dyDescent="0.2">
      <c r="B13" s="5"/>
      <c r="C13" s="5"/>
      <c r="D13" s="5"/>
      <c r="E13" s="5"/>
      <c r="G13" s="4" t="s">
        <v>833</v>
      </c>
      <c r="H13" s="5">
        <f>E21</f>
        <v>24.903123287671235</v>
      </c>
      <c r="I13" s="5"/>
    </row>
    <row r="14" spans="1:9" x14ac:dyDescent="0.2">
      <c r="A14" s="4" t="s">
        <v>854</v>
      </c>
      <c r="B14" s="5"/>
      <c r="C14" s="5"/>
      <c r="D14" s="5"/>
      <c r="E14" s="5">
        <f>Clothing!E8</f>
        <v>47.945205479452056</v>
      </c>
      <c r="G14" s="4" t="s">
        <v>834</v>
      </c>
      <c r="H14" s="5">
        <f>E23</f>
        <v>70.770380205323022</v>
      </c>
      <c r="I14" s="5"/>
    </row>
    <row r="15" spans="1:9" x14ac:dyDescent="0.2">
      <c r="A15" s="4" t="s">
        <v>855</v>
      </c>
      <c r="B15" s="5" t="s">
        <v>856</v>
      </c>
      <c r="C15" s="5"/>
      <c r="D15" s="5"/>
      <c r="E15" s="5">
        <f>Housing!F12</f>
        <v>0</v>
      </c>
      <c r="G15" s="4" t="s">
        <v>835</v>
      </c>
      <c r="H15" s="5">
        <f>E24</f>
        <v>51.486028656904423</v>
      </c>
      <c r="I15" s="5"/>
    </row>
    <row r="16" spans="1:9" x14ac:dyDescent="0.2">
      <c r="B16" s="5" t="s">
        <v>857</v>
      </c>
      <c r="C16" s="5"/>
      <c r="D16" s="5"/>
      <c r="E16" s="5">
        <f>Housing!F13</f>
        <v>0</v>
      </c>
      <c r="G16" s="4" t="s">
        <v>836</v>
      </c>
      <c r="H16" s="5">
        <f>E31</f>
        <v>90.758026143655115</v>
      </c>
      <c r="I16" s="5"/>
    </row>
    <row r="17" spans="1:9" x14ac:dyDescent="0.2">
      <c r="B17" s="5" t="s">
        <v>858</v>
      </c>
      <c r="C17" s="5"/>
      <c r="D17" s="5"/>
      <c r="E17" s="5">
        <f>Housing!F14</f>
        <v>9.7100000000000009</v>
      </c>
      <c r="G17" s="4" t="s">
        <v>837</v>
      </c>
      <c r="H17" s="5">
        <f>E32</f>
        <v>90.886849315068488</v>
      </c>
      <c r="I17" s="5"/>
    </row>
    <row r="18" spans="1:9" x14ac:dyDescent="0.2">
      <c r="B18" s="5" t="s">
        <v>859</v>
      </c>
      <c r="C18" s="5"/>
      <c r="D18" s="5"/>
      <c r="E18" s="5">
        <f>Housing!F15</f>
        <v>36.84416438356164</v>
      </c>
      <c r="G18" s="4" t="s">
        <v>838</v>
      </c>
      <c r="H18" s="5">
        <f>E33</f>
        <v>13.168949771689498</v>
      </c>
      <c r="I18" s="5"/>
    </row>
    <row r="19" spans="1:9" x14ac:dyDescent="0.2">
      <c r="B19" s="5" t="s">
        <v>860</v>
      </c>
      <c r="C19" s="5"/>
      <c r="D19" s="5"/>
      <c r="E19" s="5">
        <f>Housing!F16</f>
        <v>4.151671232876712</v>
      </c>
      <c r="G19" s="4" t="s">
        <v>890</v>
      </c>
      <c r="H19" s="5">
        <f>E34</f>
        <v>337.77079705518889</v>
      </c>
      <c r="I19" s="5"/>
    </row>
    <row r="20" spans="1:9" ht="15" x14ac:dyDescent="0.25">
      <c r="B20" s="5" t="s">
        <v>861</v>
      </c>
      <c r="C20" s="5"/>
      <c r="D20" s="5"/>
      <c r="E20" s="5">
        <f>Housing!F17</f>
        <v>61.745714046301373</v>
      </c>
      <c r="G20" s="3" t="s">
        <v>891</v>
      </c>
      <c r="H20" s="14">
        <f>SUM(H5:H19)</f>
        <v>1130.6580875394729</v>
      </c>
      <c r="I20" s="5"/>
    </row>
    <row r="21" spans="1:9" x14ac:dyDescent="0.2">
      <c r="B21" s="5" t="s">
        <v>862</v>
      </c>
      <c r="C21" s="5"/>
      <c r="D21" s="5"/>
      <c r="E21" s="5">
        <f>Housing!F18</f>
        <v>24.903123287671235</v>
      </c>
      <c r="F21" s="5"/>
      <c r="G21" s="5"/>
      <c r="I21" s="5"/>
    </row>
    <row r="22" spans="1:9" x14ac:dyDescent="0.2">
      <c r="B22" s="5"/>
      <c r="C22" s="5"/>
      <c r="D22" s="5"/>
      <c r="E22" s="5"/>
      <c r="F22" s="5"/>
      <c r="H22" s="5"/>
    </row>
    <row r="23" spans="1:9" x14ac:dyDescent="0.2">
      <c r="A23" s="4" t="s">
        <v>863</v>
      </c>
      <c r="B23" s="5" t="s">
        <v>864</v>
      </c>
      <c r="C23" s="5"/>
      <c r="D23" s="5"/>
      <c r="E23" s="5">
        <f>HHGoods!G223</f>
        <v>70.770380205323022</v>
      </c>
      <c r="I23" s="5"/>
    </row>
    <row r="24" spans="1:9" x14ac:dyDescent="0.2">
      <c r="B24" s="5" t="s">
        <v>865</v>
      </c>
      <c r="C24" s="5"/>
      <c r="D24" s="5"/>
      <c r="E24" s="5">
        <f>SUM(E26:E29)</f>
        <v>51.486028656904423</v>
      </c>
    </row>
    <row r="25" spans="1:9" x14ac:dyDescent="0.2">
      <c r="B25" s="5"/>
      <c r="C25" s="5" t="s">
        <v>866</v>
      </c>
      <c r="D25" s="5"/>
      <c r="E25" s="5">
        <f>SUM(E26:E27)</f>
        <v>16.160001259644151</v>
      </c>
    </row>
    <row r="26" spans="1:9" x14ac:dyDescent="0.2">
      <c r="D26" s="4" t="s">
        <v>867</v>
      </c>
      <c r="E26" s="5">
        <f>HHServices!G15</f>
        <v>2.298850574712644</v>
      </c>
    </row>
    <row r="27" spans="1:9" x14ac:dyDescent="0.2">
      <c r="D27" s="4" t="s">
        <v>868</v>
      </c>
      <c r="E27" s="5">
        <f>HHServices!G16</f>
        <v>13.861150684931507</v>
      </c>
      <c r="H27" s="4">
        <f>H8*365/7</f>
        <v>2500</v>
      </c>
    </row>
    <row r="28" spans="1:9" x14ac:dyDescent="0.2">
      <c r="B28" s="5"/>
      <c r="C28" s="5" t="s">
        <v>869</v>
      </c>
      <c r="D28" s="5"/>
      <c r="E28" s="5">
        <v>0</v>
      </c>
    </row>
    <row r="29" spans="1:9" x14ac:dyDescent="0.2">
      <c r="B29" s="5"/>
      <c r="C29" s="5" t="s">
        <v>870</v>
      </c>
      <c r="D29" s="5"/>
      <c r="E29" s="5">
        <f>HHServices!G17</f>
        <v>35.326027397260276</v>
      </c>
    </row>
    <row r="30" spans="1:9" x14ac:dyDescent="0.2">
      <c r="B30" s="5"/>
      <c r="C30" s="5"/>
      <c r="D30" s="5"/>
      <c r="E30" s="5"/>
    </row>
    <row r="31" spans="1:9" x14ac:dyDescent="0.2">
      <c r="A31" s="4" t="s">
        <v>871</v>
      </c>
      <c r="B31" s="5"/>
      <c r="C31" s="5"/>
      <c r="D31" s="5"/>
      <c r="E31" s="5">
        <f>SUM('PersonalGoods+Services'!F68+Health!F20)</f>
        <v>90.758026143655115</v>
      </c>
      <c r="F31" s="5"/>
    </row>
    <row r="32" spans="1:9" x14ac:dyDescent="0.2">
      <c r="A32" s="4" t="s">
        <v>872</v>
      </c>
      <c r="B32" s="4" t="s">
        <v>873</v>
      </c>
      <c r="E32" s="5">
        <f>Transport!K9</f>
        <v>90.886849315068488</v>
      </c>
    </row>
    <row r="33" spans="1:8" x14ac:dyDescent="0.2">
      <c r="B33" s="4" t="s">
        <v>874</v>
      </c>
      <c r="E33" s="5">
        <f>Transport!E10</f>
        <v>13.168949771689498</v>
      </c>
    </row>
    <row r="34" spans="1:8" x14ac:dyDescent="0.2">
      <c r="A34" s="4" t="s">
        <v>875</v>
      </c>
      <c r="E34" s="5">
        <f>SUM(E35:E40)</f>
        <v>337.77079705518889</v>
      </c>
    </row>
    <row r="35" spans="1:8" x14ac:dyDescent="0.2">
      <c r="B35" s="4" t="s">
        <v>876</v>
      </c>
      <c r="E35" s="5">
        <f>LeisureGoods!E22</f>
        <v>68.981758904109583</v>
      </c>
    </row>
    <row r="36" spans="1:8" x14ac:dyDescent="0.2">
      <c r="B36" s="4" t="s">
        <v>877</v>
      </c>
      <c r="E36" s="4">
        <v>0</v>
      </c>
    </row>
    <row r="37" spans="1:8" x14ac:dyDescent="0.2">
      <c r="B37" s="4" t="s">
        <v>878</v>
      </c>
      <c r="E37" s="5">
        <f>LeisureServices!E22</f>
        <v>122.92854794520548</v>
      </c>
    </row>
    <row r="38" spans="1:8" x14ac:dyDescent="0.2">
      <c r="B38" s="5" t="s">
        <v>879</v>
      </c>
      <c r="C38" s="5"/>
      <c r="D38" s="5"/>
      <c r="E38" s="5">
        <f>LeisureServices!E23</f>
        <v>3.0493150684931507</v>
      </c>
    </row>
    <row r="39" spans="1:8" x14ac:dyDescent="0.2">
      <c r="B39" s="5" t="s">
        <v>880</v>
      </c>
      <c r="C39" s="5"/>
      <c r="D39" s="5"/>
      <c r="E39" s="5">
        <f>LeisureServices!E24</f>
        <v>105.26772602739726</v>
      </c>
    </row>
    <row r="40" spans="1:8" x14ac:dyDescent="0.2">
      <c r="B40" s="5" t="s">
        <v>881</v>
      </c>
      <c r="C40" s="5"/>
      <c r="D40" s="5"/>
      <c r="E40" s="5">
        <f>LeisureServices!E25</f>
        <v>37.543449109983435</v>
      </c>
      <c r="H40" s="4">
        <f>H20*52</f>
        <v>58794.220552052589</v>
      </c>
    </row>
    <row r="41" spans="1:8" x14ac:dyDescent="0.2">
      <c r="B41" s="5"/>
      <c r="C41" s="5"/>
      <c r="D41" s="5"/>
      <c r="E41" s="5"/>
    </row>
    <row r="42" spans="1:8" x14ac:dyDescent="0.2">
      <c r="B42" s="5"/>
      <c r="C42" s="5"/>
      <c r="D42" s="5"/>
      <c r="E42" s="5"/>
    </row>
    <row r="43" spans="1:8" x14ac:dyDescent="0.2">
      <c r="B43" s="5"/>
      <c r="C43" s="5"/>
      <c r="D43" s="5"/>
      <c r="E43" s="5"/>
    </row>
    <row r="45" spans="1:8" x14ac:dyDescent="0.2">
      <c r="B45" s="5"/>
      <c r="C45" s="5"/>
      <c r="D45" s="5"/>
      <c r="E45" s="5"/>
      <c r="F45" s="5"/>
    </row>
    <row r="47" spans="1:8" x14ac:dyDescent="0.2">
      <c r="B47" s="5"/>
      <c r="C47" s="5"/>
      <c r="D47" s="5"/>
      <c r="E47" s="5"/>
    </row>
  </sheetData>
  <printOptions gridLines="1"/>
  <pageMargins left="0.7" right="0.7" top="0.75" bottom="0.75" header="0.3" footer="0.3"/>
  <pageSetup paperSize="9" scale="8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E9756-DC4F-4D37-8792-B51A61E45F1F}">
  <dimension ref="A1:M39"/>
  <sheetViews>
    <sheetView view="pageBreakPreview" zoomScale="113" zoomScaleNormal="115" workbookViewId="0"/>
  </sheetViews>
  <sheetFormatPr defaultColWidth="8.85546875" defaultRowHeight="15" x14ac:dyDescent="0.25"/>
  <cols>
    <col min="1" max="1" width="5" customWidth="1"/>
    <col min="2" max="2" width="6.42578125" customWidth="1"/>
    <col min="3" max="3" width="6.28515625" customWidth="1"/>
    <col min="4" max="4" width="14" customWidth="1"/>
    <col min="5" max="5" width="8.28515625" customWidth="1"/>
    <col min="6" max="6" width="10" customWidth="1"/>
    <col min="7" max="7" width="6.42578125" customWidth="1"/>
    <col min="8" max="8" width="5.85546875" customWidth="1"/>
    <col min="9" max="9" width="6.85546875" customWidth="1"/>
    <col min="10" max="10" width="7" customWidth="1"/>
    <col min="11" max="11" width="6.42578125" customWidth="1"/>
    <col min="12" max="12" width="28" customWidth="1"/>
    <col min="13" max="13" width="21" customWidth="1"/>
  </cols>
  <sheetData>
    <row r="1" spans="1:13" ht="15.75" x14ac:dyDescent="0.25">
      <c r="A1" s="2" t="s">
        <v>1368</v>
      </c>
      <c r="B1" s="16"/>
      <c r="K1" s="120"/>
      <c r="L1" s="120"/>
      <c r="M1" s="120"/>
    </row>
    <row r="2" spans="1:13" x14ac:dyDescent="0.25">
      <c r="A2" s="16" t="s">
        <v>523</v>
      </c>
      <c r="B2" s="16"/>
    </row>
    <row r="3" spans="1:13" x14ac:dyDescent="0.25">
      <c r="A3" s="16" t="s">
        <v>844</v>
      </c>
      <c r="B3" s="16"/>
    </row>
    <row r="4" spans="1:13" ht="26.25" customHeight="1" x14ac:dyDescent="0.25">
      <c r="A4" s="25" t="s">
        <v>0</v>
      </c>
      <c r="B4" s="25" t="s">
        <v>1</v>
      </c>
      <c r="C4" s="25" t="s">
        <v>2</v>
      </c>
      <c r="D4" s="26" t="s">
        <v>3</v>
      </c>
      <c r="E4" s="26" t="s">
        <v>4</v>
      </c>
      <c r="F4" s="26" t="s">
        <v>6</v>
      </c>
      <c r="G4" s="27" t="s">
        <v>7</v>
      </c>
      <c r="H4" s="27" t="s">
        <v>8</v>
      </c>
      <c r="I4" s="26" t="s">
        <v>9</v>
      </c>
      <c r="J4" s="26" t="s">
        <v>10</v>
      </c>
      <c r="K4" s="27" t="s">
        <v>46</v>
      </c>
      <c r="L4" s="27" t="s">
        <v>12</v>
      </c>
      <c r="M4" s="26" t="s">
        <v>13</v>
      </c>
    </row>
    <row r="5" spans="1:13" ht="26.25" customHeight="1" x14ac:dyDescent="0.25">
      <c r="A5" s="6" t="s">
        <v>527</v>
      </c>
      <c r="B5" s="6">
        <v>7.3</v>
      </c>
      <c r="C5" s="6" t="s">
        <v>67</v>
      </c>
      <c r="D5" s="18" t="s">
        <v>528</v>
      </c>
      <c r="E5" s="28" t="s">
        <v>529</v>
      </c>
      <c r="F5" s="26"/>
      <c r="G5" s="121"/>
      <c r="H5" s="121"/>
      <c r="I5" s="122"/>
      <c r="J5" s="122"/>
      <c r="K5" s="27"/>
      <c r="L5" s="106" t="s">
        <v>530</v>
      </c>
      <c r="M5" s="26"/>
    </row>
    <row r="6" spans="1:13" ht="27" customHeight="1" x14ac:dyDescent="0.25">
      <c r="A6" s="6" t="s">
        <v>527</v>
      </c>
      <c r="B6" s="6">
        <v>7.3</v>
      </c>
      <c r="C6" s="6" t="s">
        <v>67</v>
      </c>
      <c r="D6" s="18" t="s">
        <v>528</v>
      </c>
      <c r="E6" s="6" t="s">
        <v>531</v>
      </c>
      <c r="F6" s="6" t="s">
        <v>532</v>
      </c>
      <c r="G6" s="13">
        <v>70</v>
      </c>
      <c r="H6" s="35">
        <v>1</v>
      </c>
      <c r="I6" s="35">
        <v>2</v>
      </c>
      <c r="J6" s="34">
        <f>365/7*3</f>
        <v>156.42857142857144</v>
      </c>
      <c r="K6" s="13">
        <f>G6*I6/J6</f>
        <v>0.89497716894977164</v>
      </c>
      <c r="L6" s="7" t="s">
        <v>533</v>
      </c>
      <c r="M6" s="6" t="s">
        <v>534</v>
      </c>
    </row>
    <row r="7" spans="1:13" ht="26.25" customHeight="1" x14ac:dyDescent="0.25">
      <c r="A7" s="6" t="s">
        <v>527</v>
      </c>
      <c r="B7" s="6">
        <v>7.3</v>
      </c>
      <c r="C7" s="6" t="s">
        <v>67</v>
      </c>
      <c r="D7" s="18" t="s">
        <v>528</v>
      </c>
      <c r="E7" s="6" t="s">
        <v>526</v>
      </c>
      <c r="F7" s="6"/>
      <c r="G7" s="13">
        <v>200</v>
      </c>
      <c r="H7" s="35">
        <v>1</v>
      </c>
      <c r="I7" s="35">
        <v>2</v>
      </c>
      <c r="J7" s="34">
        <v>52.142857142857146</v>
      </c>
      <c r="K7" s="42">
        <f>G7*I7/J7</f>
        <v>7.6712328767123283</v>
      </c>
      <c r="L7" s="7" t="s">
        <v>895</v>
      </c>
      <c r="M7" s="6"/>
    </row>
    <row r="8" spans="1:13" ht="22.5" x14ac:dyDescent="0.25">
      <c r="A8" s="6" t="s">
        <v>527</v>
      </c>
      <c r="B8" s="6">
        <v>7.3</v>
      </c>
      <c r="C8" s="6" t="s">
        <v>67</v>
      </c>
      <c r="D8" s="18" t="s">
        <v>524</v>
      </c>
      <c r="E8" s="6" t="s">
        <v>525</v>
      </c>
      <c r="F8" s="6"/>
      <c r="G8" s="13">
        <v>20</v>
      </c>
      <c r="H8" s="35">
        <v>1</v>
      </c>
      <c r="I8" s="35">
        <v>1</v>
      </c>
      <c r="J8" s="34">
        <f>365/84</f>
        <v>4.3452380952380949</v>
      </c>
      <c r="K8" s="13">
        <f>G8*I8/J8</f>
        <v>4.6027397260273979</v>
      </c>
      <c r="L8" s="7" t="s">
        <v>894</v>
      </c>
      <c r="M8" s="6"/>
    </row>
    <row r="9" spans="1:13" ht="22.5" x14ac:dyDescent="0.25">
      <c r="A9" s="6" t="s">
        <v>527</v>
      </c>
      <c r="B9" s="6">
        <v>7.2</v>
      </c>
      <c r="C9" s="6" t="s">
        <v>67</v>
      </c>
      <c r="D9" s="6" t="s">
        <v>892</v>
      </c>
      <c r="E9" s="6"/>
      <c r="F9" s="6"/>
      <c r="G9" s="13">
        <v>4739.1000000000004</v>
      </c>
      <c r="H9" s="6"/>
      <c r="I9" s="6">
        <v>1</v>
      </c>
      <c r="J9" s="13">
        <f>365/7</f>
        <v>52.142857142857146</v>
      </c>
      <c r="K9" s="13">
        <f>G9*I9/J9</f>
        <v>90.886849315068488</v>
      </c>
      <c r="L9" s="7" t="s">
        <v>893</v>
      </c>
    </row>
    <row r="10" spans="1:13" x14ac:dyDescent="0.25">
      <c r="D10" s="7" t="s">
        <v>889</v>
      </c>
      <c r="E10" s="100">
        <f>SUM(K5:K8)</f>
        <v>13.168949771689498</v>
      </c>
      <c r="G10" s="123"/>
    </row>
    <row r="11" spans="1:13" x14ac:dyDescent="0.25">
      <c r="G11" s="123"/>
    </row>
    <row r="12" spans="1:13" x14ac:dyDescent="0.25">
      <c r="G12" s="123"/>
    </row>
    <row r="13" spans="1:13" x14ac:dyDescent="0.25">
      <c r="G13" s="123"/>
    </row>
    <row r="14" spans="1:13" x14ac:dyDescent="0.25">
      <c r="G14" s="123"/>
    </row>
    <row r="15" spans="1:13" x14ac:dyDescent="0.25">
      <c r="G15" s="123"/>
    </row>
    <row r="16" spans="1:13" x14ac:dyDescent="0.25">
      <c r="G16" s="123"/>
    </row>
    <row r="17" spans="7:7" x14ac:dyDescent="0.25">
      <c r="G17" s="123"/>
    </row>
    <row r="18" spans="7:7" x14ac:dyDescent="0.25">
      <c r="G18" s="123"/>
    </row>
    <row r="19" spans="7:7" x14ac:dyDescent="0.25">
      <c r="G19" s="123"/>
    </row>
    <row r="20" spans="7:7" x14ac:dyDescent="0.25">
      <c r="G20" s="123"/>
    </row>
    <row r="21" spans="7:7" x14ac:dyDescent="0.25">
      <c r="G21" s="123"/>
    </row>
    <row r="22" spans="7:7" x14ac:dyDescent="0.25">
      <c r="G22" s="123"/>
    </row>
    <row r="23" spans="7:7" x14ac:dyDescent="0.25">
      <c r="G23" s="123"/>
    </row>
    <row r="24" spans="7:7" x14ac:dyDescent="0.25">
      <c r="G24" s="123"/>
    </row>
    <row r="25" spans="7:7" x14ac:dyDescent="0.25">
      <c r="G25" s="123"/>
    </row>
    <row r="26" spans="7:7" x14ac:dyDescent="0.25">
      <c r="G26" s="123"/>
    </row>
    <row r="27" spans="7:7" x14ac:dyDescent="0.25">
      <c r="G27" s="123"/>
    </row>
    <row r="28" spans="7:7" x14ac:dyDescent="0.25">
      <c r="G28" s="123"/>
    </row>
    <row r="29" spans="7:7" x14ac:dyDescent="0.25">
      <c r="G29" s="123"/>
    </row>
    <row r="30" spans="7:7" x14ac:dyDescent="0.25">
      <c r="G30" s="123"/>
    </row>
    <row r="31" spans="7:7" x14ac:dyDescent="0.25">
      <c r="G31" s="123"/>
    </row>
    <row r="32" spans="7:7" x14ac:dyDescent="0.25">
      <c r="G32" s="123"/>
    </row>
    <row r="33" spans="7:7" x14ac:dyDescent="0.25">
      <c r="G33" s="123"/>
    </row>
    <row r="34" spans="7:7" x14ac:dyDescent="0.25">
      <c r="G34" s="123"/>
    </row>
    <row r="35" spans="7:7" x14ac:dyDescent="0.25">
      <c r="G35" s="123"/>
    </row>
    <row r="36" spans="7:7" x14ac:dyDescent="0.25">
      <c r="G36" s="123"/>
    </row>
    <row r="37" spans="7:7" x14ac:dyDescent="0.25">
      <c r="G37" s="123"/>
    </row>
    <row r="38" spans="7:7" x14ac:dyDescent="0.25">
      <c r="G38" s="123"/>
    </row>
    <row r="39" spans="7:7" x14ac:dyDescent="0.25">
      <c r="G39" s="123"/>
    </row>
  </sheetData>
  <printOptions gridLines="1"/>
  <pageMargins left="0.7" right="0.7" top="0.75" bottom="0.75" header="0.3" footer="0.3"/>
  <pageSetup paperSize="9" scale="8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DD103-0CBD-4A32-8621-44ECDF31BD9D}">
  <dimension ref="A1:M22"/>
  <sheetViews>
    <sheetView view="pageBreakPreview" zoomScale="115" zoomScaleNormal="100" zoomScaleSheetLayoutView="115" workbookViewId="0"/>
  </sheetViews>
  <sheetFormatPr defaultColWidth="8.85546875" defaultRowHeight="15" x14ac:dyDescent="0.25"/>
  <cols>
    <col min="1" max="1" width="5.85546875" customWidth="1"/>
    <col min="2" max="2" width="6.42578125" customWidth="1"/>
    <col min="3" max="3" width="6.7109375" customWidth="1"/>
    <col min="4" max="4" width="13.140625" customWidth="1"/>
    <col min="5" max="5" width="11.28515625" customWidth="1"/>
    <col min="6" max="6" width="7.42578125" customWidth="1"/>
    <col min="7" max="7" width="6.42578125" customWidth="1"/>
    <col min="8" max="8" width="6" customWidth="1"/>
    <col min="9" max="9" width="6.85546875" customWidth="1"/>
    <col min="10" max="10" width="7.28515625" customWidth="1"/>
    <col min="11" max="11" width="6.42578125" customWidth="1"/>
    <col min="12" max="12" width="28.42578125" customWidth="1"/>
    <col min="13" max="13" width="27.85546875" customWidth="1"/>
    <col min="14" max="14" width="27.42578125" customWidth="1"/>
  </cols>
  <sheetData>
    <row r="1" spans="1:13" ht="15.75" x14ac:dyDescent="0.25">
      <c r="A1" s="2" t="s">
        <v>1368</v>
      </c>
      <c r="B1" s="124"/>
      <c r="C1" s="6"/>
      <c r="D1" s="6"/>
    </row>
    <row r="2" spans="1:13" x14ac:dyDescent="0.25">
      <c r="A2" s="16" t="s">
        <v>535</v>
      </c>
      <c r="B2" s="124"/>
      <c r="C2" s="16"/>
      <c r="D2" s="58"/>
    </row>
    <row r="3" spans="1:13" x14ac:dyDescent="0.25">
      <c r="A3" s="16" t="s">
        <v>844</v>
      </c>
      <c r="B3" s="125"/>
      <c r="C3" s="28"/>
      <c r="D3" s="28"/>
    </row>
    <row r="4" spans="1:13" ht="45" x14ac:dyDescent="0.25">
      <c r="A4" s="26" t="s">
        <v>0</v>
      </c>
      <c r="B4" s="26" t="s">
        <v>1</v>
      </c>
      <c r="C4" s="26" t="s">
        <v>2</v>
      </c>
      <c r="D4" s="26" t="s">
        <v>3</v>
      </c>
      <c r="E4" s="26" t="s">
        <v>4</v>
      </c>
      <c r="F4" s="26" t="s">
        <v>6</v>
      </c>
      <c r="G4" s="27" t="s">
        <v>7</v>
      </c>
      <c r="H4" s="27" t="s">
        <v>8</v>
      </c>
      <c r="I4" s="26" t="s">
        <v>9</v>
      </c>
      <c r="J4" s="26" t="s">
        <v>10</v>
      </c>
      <c r="K4" s="27" t="s">
        <v>46</v>
      </c>
      <c r="L4" s="27" t="s">
        <v>12</v>
      </c>
      <c r="M4" s="26" t="s">
        <v>13</v>
      </c>
    </row>
    <row r="5" spans="1:13" ht="48" customHeight="1" x14ac:dyDescent="0.25">
      <c r="A5" s="6" t="s">
        <v>536</v>
      </c>
      <c r="B5" s="6">
        <v>9.1</v>
      </c>
      <c r="C5" s="6" t="s">
        <v>67</v>
      </c>
      <c r="D5" s="18" t="s">
        <v>537</v>
      </c>
      <c r="E5" s="7" t="s">
        <v>538</v>
      </c>
      <c r="F5" s="7" t="s">
        <v>200</v>
      </c>
      <c r="G5" s="13">
        <v>599</v>
      </c>
      <c r="H5" s="35">
        <v>1</v>
      </c>
      <c r="I5" s="35">
        <v>1</v>
      </c>
      <c r="J5" s="34">
        <f>365/7*5</f>
        <v>260.71428571428572</v>
      </c>
      <c r="K5" s="13">
        <f t="shared" ref="K5:K20" si="0">G5*I5/J5</f>
        <v>2.2975342465753426</v>
      </c>
      <c r="L5" s="7" t="s">
        <v>907</v>
      </c>
      <c r="M5" s="7" t="s">
        <v>906</v>
      </c>
    </row>
    <row r="6" spans="1:13" ht="30" customHeight="1" x14ac:dyDescent="0.25">
      <c r="A6" s="6" t="s">
        <v>536</v>
      </c>
      <c r="B6" s="6">
        <v>9.1</v>
      </c>
      <c r="C6" s="6" t="s">
        <v>67</v>
      </c>
      <c r="D6" s="18" t="s">
        <v>537</v>
      </c>
      <c r="E6" s="7" t="s">
        <v>908</v>
      </c>
      <c r="F6" s="7" t="s">
        <v>200</v>
      </c>
      <c r="G6" s="13">
        <v>199</v>
      </c>
      <c r="H6" s="35">
        <v>1</v>
      </c>
      <c r="I6" s="35">
        <v>1</v>
      </c>
      <c r="J6" s="34">
        <f>365/7*10</f>
        <v>521.42857142857144</v>
      </c>
      <c r="K6" s="13">
        <f t="shared" si="0"/>
        <v>0.38164383561643833</v>
      </c>
      <c r="L6" s="7" t="s">
        <v>909</v>
      </c>
      <c r="M6" s="7" t="s">
        <v>910</v>
      </c>
    </row>
    <row r="7" spans="1:13" ht="33.950000000000003" customHeight="1" x14ac:dyDescent="0.25">
      <c r="A7" s="6" t="s">
        <v>536</v>
      </c>
      <c r="B7" s="6">
        <v>9.1</v>
      </c>
      <c r="C7" s="6" t="s">
        <v>67</v>
      </c>
      <c r="D7" s="18" t="s">
        <v>537</v>
      </c>
      <c r="E7" s="7" t="s">
        <v>911</v>
      </c>
      <c r="F7" s="7" t="s">
        <v>200</v>
      </c>
      <c r="G7" s="13">
        <v>29.99</v>
      </c>
      <c r="H7" s="35">
        <v>1</v>
      </c>
      <c r="I7" s="35">
        <v>1</v>
      </c>
      <c r="J7" s="34">
        <f>365/7*10</f>
        <v>521.42857142857144</v>
      </c>
      <c r="K7" s="13">
        <f>G7*I7/J7</f>
        <v>5.7515068493150683E-2</v>
      </c>
      <c r="L7" s="7"/>
      <c r="M7" s="7" t="s">
        <v>912</v>
      </c>
    </row>
    <row r="8" spans="1:13" ht="27" customHeight="1" x14ac:dyDescent="0.25">
      <c r="A8" s="6" t="s">
        <v>536</v>
      </c>
      <c r="B8" s="6">
        <v>9.1</v>
      </c>
      <c r="C8" s="6" t="s">
        <v>67</v>
      </c>
      <c r="D8" s="18" t="s">
        <v>537</v>
      </c>
      <c r="E8" s="7" t="s">
        <v>547</v>
      </c>
      <c r="F8" s="7" t="s">
        <v>74</v>
      </c>
      <c r="G8" s="13">
        <v>54.99</v>
      </c>
      <c r="H8" s="35">
        <v>1</v>
      </c>
      <c r="I8" s="35">
        <v>3</v>
      </c>
      <c r="J8" s="34">
        <f>365/7*10</f>
        <v>521.42857142857144</v>
      </c>
      <c r="K8" s="13">
        <f t="shared" si="0"/>
        <v>0.3163808219178082</v>
      </c>
      <c r="L8" s="7"/>
      <c r="M8" s="126" t="s">
        <v>548</v>
      </c>
    </row>
    <row r="9" spans="1:13" ht="30" customHeight="1" x14ac:dyDescent="0.25">
      <c r="A9" s="6" t="s">
        <v>536</v>
      </c>
      <c r="B9" s="6">
        <v>9.1</v>
      </c>
      <c r="C9" s="6" t="s">
        <v>67</v>
      </c>
      <c r="D9" s="18" t="s">
        <v>537</v>
      </c>
      <c r="E9" s="39" t="s">
        <v>915</v>
      </c>
      <c r="F9" s="39" t="s">
        <v>200</v>
      </c>
      <c r="G9" s="13">
        <v>219</v>
      </c>
      <c r="H9" s="35">
        <v>1</v>
      </c>
      <c r="I9" s="35">
        <v>1</v>
      </c>
      <c r="J9" s="34">
        <f>365/7*5</f>
        <v>260.71428571428572</v>
      </c>
      <c r="K9" s="13">
        <f t="shared" si="0"/>
        <v>0.84</v>
      </c>
      <c r="L9" s="7"/>
      <c r="M9" s="39" t="s">
        <v>914</v>
      </c>
    </row>
    <row r="10" spans="1:13" ht="36.75" customHeight="1" x14ac:dyDescent="0.25">
      <c r="A10" s="18" t="s">
        <v>536</v>
      </c>
      <c r="B10" s="7">
        <v>9.1</v>
      </c>
      <c r="C10" s="6" t="s">
        <v>67</v>
      </c>
      <c r="D10" s="18" t="s">
        <v>537</v>
      </c>
      <c r="E10" s="18" t="s">
        <v>539</v>
      </c>
      <c r="F10" s="6" t="s">
        <v>200</v>
      </c>
      <c r="G10" s="13">
        <v>549</v>
      </c>
      <c r="H10" s="35">
        <v>1</v>
      </c>
      <c r="I10" s="35">
        <v>1</v>
      </c>
      <c r="J10" s="34">
        <f>365/7*5</f>
        <v>260.71428571428572</v>
      </c>
      <c r="K10" s="30">
        <f t="shared" si="0"/>
        <v>2.105753424657534</v>
      </c>
      <c r="L10" s="7" t="s">
        <v>917</v>
      </c>
      <c r="M10" s="7" t="s">
        <v>916</v>
      </c>
    </row>
    <row r="11" spans="1:13" ht="36.75" customHeight="1" x14ac:dyDescent="0.25">
      <c r="A11" s="18" t="s">
        <v>536</v>
      </c>
      <c r="B11" s="7">
        <v>9.1</v>
      </c>
      <c r="C11" s="6" t="s">
        <v>67</v>
      </c>
      <c r="D11" s="18" t="s">
        <v>537</v>
      </c>
      <c r="E11" s="18" t="s">
        <v>929</v>
      </c>
      <c r="F11" s="6" t="s">
        <v>200</v>
      </c>
      <c r="G11" s="13">
        <v>149</v>
      </c>
      <c r="H11" s="35">
        <v>1</v>
      </c>
      <c r="I11" s="35">
        <v>1</v>
      </c>
      <c r="J11" s="34">
        <f>365/7*10</f>
        <v>521.42857142857144</v>
      </c>
      <c r="K11" s="30">
        <f t="shared" si="0"/>
        <v>0.28575342465753423</v>
      </c>
      <c r="L11" s="7" t="s">
        <v>930</v>
      </c>
      <c r="M11" s="7" t="s">
        <v>928</v>
      </c>
    </row>
    <row r="12" spans="1:13" ht="36.75" customHeight="1" x14ac:dyDescent="0.25">
      <c r="A12" s="18" t="s">
        <v>536</v>
      </c>
      <c r="B12" s="39">
        <v>9.1</v>
      </c>
      <c r="C12" s="39" t="s">
        <v>931</v>
      </c>
      <c r="D12" s="39" t="s">
        <v>537</v>
      </c>
      <c r="E12" s="39" t="s">
        <v>932</v>
      </c>
      <c r="F12" s="39" t="s">
        <v>200</v>
      </c>
      <c r="G12" s="40">
        <v>39.99</v>
      </c>
      <c r="H12" s="39">
        <v>1</v>
      </c>
      <c r="I12" s="39">
        <v>1</v>
      </c>
      <c r="J12" s="40">
        <f>365/7*3</f>
        <v>156.42857142857144</v>
      </c>
      <c r="K12" s="40">
        <f t="shared" ref="K12:K13" si="1">G12*I12/J12</f>
        <v>0.25564383561643833</v>
      </c>
      <c r="L12" s="39"/>
      <c r="M12" s="39" t="s">
        <v>934</v>
      </c>
    </row>
    <row r="13" spans="1:13" ht="36.75" customHeight="1" x14ac:dyDescent="0.25">
      <c r="A13" s="18" t="s">
        <v>536</v>
      </c>
      <c r="B13" s="39">
        <v>9.1</v>
      </c>
      <c r="C13" s="39" t="s">
        <v>931</v>
      </c>
      <c r="D13" s="39" t="s">
        <v>537</v>
      </c>
      <c r="E13" s="39" t="s">
        <v>933</v>
      </c>
      <c r="F13" s="7" t="s">
        <v>936</v>
      </c>
      <c r="G13" s="40">
        <v>2.99</v>
      </c>
      <c r="H13" s="39">
        <v>1</v>
      </c>
      <c r="I13" s="39">
        <v>1</v>
      </c>
      <c r="J13" s="40">
        <f>365/84</f>
        <v>4.3452380952380949</v>
      </c>
      <c r="K13" s="40">
        <f t="shared" si="1"/>
        <v>0.68810958904109598</v>
      </c>
      <c r="L13" s="39" t="s">
        <v>935</v>
      </c>
      <c r="M13" s="39" t="s">
        <v>937</v>
      </c>
    </row>
    <row r="14" spans="1:13" ht="56.25" x14ac:dyDescent="0.25">
      <c r="A14" s="6" t="s">
        <v>536</v>
      </c>
      <c r="B14" s="6">
        <v>9.3000000000000007</v>
      </c>
      <c r="C14" s="6" t="s">
        <v>67</v>
      </c>
      <c r="D14" s="18" t="s">
        <v>549</v>
      </c>
      <c r="E14" s="18" t="s">
        <v>541</v>
      </c>
      <c r="F14" s="7"/>
      <c r="G14" s="13">
        <v>200</v>
      </c>
      <c r="H14" s="35">
        <v>1</v>
      </c>
      <c r="I14" s="17">
        <v>2</v>
      </c>
      <c r="J14" s="34">
        <f>365/7</f>
        <v>52.142857142857146</v>
      </c>
      <c r="K14" s="13">
        <f t="shared" si="0"/>
        <v>7.6712328767123283</v>
      </c>
      <c r="L14" s="7" t="s">
        <v>1085</v>
      </c>
    </row>
    <row r="15" spans="1:13" ht="22.5" x14ac:dyDescent="0.25">
      <c r="A15" s="6" t="s">
        <v>536</v>
      </c>
      <c r="B15" s="6">
        <v>9.3000000000000007</v>
      </c>
      <c r="C15" s="6" t="s">
        <v>67</v>
      </c>
      <c r="D15" s="18" t="s">
        <v>540</v>
      </c>
      <c r="E15" s="18" t="s">
        <v>541</v>
      </c>
      <c r="F15" s="6"/>
      <c r="G15" s="13">
        <v>600</v>
      </c>
      <c r="H15" s="35">
        <v>12</v>
      </c>
      <c r="I15" s="17">
        <v>1</v>
      </c>
      <c r="J15" s="34">
        <f>365/7</f>
        <v>52.142857142857146</v>
      </c>
      <c r="K15" s="13">
        <f t="shared" si="0"/>
        <v>11.506849315068493</v>
      </c>
      <c r="L15" s="7" t="s">
        <v>1086</v>
      </c>
      <c r="M15" s="6"/>
    </row>
    <row r="16" spans="1:13" ht="22.5" x14ac:dyDescent="0.25">
      <c r="A16" s="18" t="s">
        <v>536</v>
      </c>
      <c r="B16" s="7">
        <v>9.3000000000000007</v>
      </c>
      <c r="C16" s="6" t="s">
        <v>67</v>
      </c>
      <c r="D16" s="18" t="s">
        <v>542</v>
      </c>
      <c r="E16" s="18" t="s">
        <v>541</v>
      </c>
      <c r="F16" s="6"/>
      <c r="G16" s="13">
        <v>600</v>
      </c>
      <c r="H16" s="35">
        <v>12</v>
      </c>
      <c r="I16" s="17">
        <v>1</v>
      </c>
      <c r="J16" s="34">
        <f>365/7</f>
        <v>52.142857142857146</v>
      </c>
      <c r="K16" s="13">
        <f t="shared" si="0"/>
        <v>11.506849315068493</v>
      </c>
      <c r="L16" s="7" t="s">
        <v>1086</v>
      </c>
      <c r="M16" s="127"/>
    </row>
    <row r="17" spans="1:13" ht="26.25" customHeight="1" x14ac:dyDescent="0.25">
      <c r="A17" s="18" t="s">
        <v>536</v>
      </c>
      <c r="B17" s="7">
        <v>9.3000000000000007</v>
      </c>
      <c r="C17" s="6" t="s">
        <v>67</v>
      </c>
      <c r="D17" s="18" t="s">
        <v>545</v>
      </c>
      <c r="E17" s="18" t="s">
        <v>546</v>
      </c>
      <c r="F17" s="6"/>
      <c r="G17" s="13">
        <v>25</v>
      </c>
      <c r="H17" s="35">
        <v>1</v>
      </c>
      <c r="I17" s="35">
        <v>2</v>
      </c>
      <c r="J17" s="34">
        <f>365/84</f>
        <v>4.3452380952380949</v>
      </c>
      <c r="K17" s="13">
        <f t="shared" si="0"/>
        <v>11.506849315068495</v>
      </c>
      <c r="L17" s="7" t="s">
        <v>1367</v>
      </c>
      <c r="M17" s="127"/>
    </row>
    <row r="18" spans="1:13" ht="48.75" customHeight="1" x14ac:dyDescent="0.25">
      <c r="A18" s="18" t="s">
        <v>536</v>
      </c>
      <c r="B18" s="7">
        <v>9.3000000000000007</v>
      </c>
      <c r="C18" s="6" t="s">
        <v>67</v>
      </c>
      <c r="D18" s="18" t="s">
        <v>550</v>
      </c>
      <c r="E18" s="18" t="s">
        <v>543</v>
      </c>
      <c r="F18" s="7"/>
      <c r="G18" s="13">
        <v>50</v>
      </c>
      <c r="H18" s="35">
        <v>1</v>
      </c>
      <c r="I18" s="17">
        <v>1</v>
      </c>
      <c r="J18" s="34">
        <f>365/7*10</f>
        <v>521.42857142857144</v>
      </c>
      <c r="K18" s="13">
        <f t="shared" si="0"/>
        <v>9.5890410958904104E-2</v>
      </c>
      <c r="L18" s="7" t="s">
        <v>1087</v>
      </c>
      <c r="M18" s="7"/>
    </row>
    <row r="19" spans="1:13" ht="33.75" x14ac:dyDescent="0.25">
      <c r="A19" s="18" t="s">
        <v>536</v>
      </c>
      <c r="B19" s="7">
        <v>9.5</v>
      </c>
      <c r="C19" s="6" t="s">
        <v>67</v>
      </c>
      <c r="D19" s="18" t="s">
        <v>551</v>
      </c>
      <c r="E19" s="18" t="s">
        <v>544</v>
      </c>
      <c r="F19" s="7"/>
      <c r="G19" s="13">
        <v>15</v>
      </c>
      <c r="H19" s="35">
        <v>1</v>
      </c>
      <c r="I19" s="17">
        <v>1</v>
      </c>
      <c r="J19" s="34">
        <f>365/7</f>
        <v>52.142857142857146</v>
      </c>
      <c r="K19" s="13">
        <f t="shared" si="0"/>
        <v>0.28767123287671231</v>
      </c>
      <c r="L19" s="7" t="s">
        <v>552</v>
      </c>
      <c r="M19" s="7"/>
    </row>
    <row r="20" spans="1:13" ht="69" customHeight="1" x14ac:dyDescent="0.25">
      <c r="A20" s="18" t="s">
        <v>913</v>
      </c>
      <c r="B20" s="7">
        <v>9.3000000000000007</v>
      </c>
      <c r="C20" s="6" t="s">
        <v>67</v>
      </c>
      <c r="D20" s="18" t="s">
        <v>1083</v>
      </c>
      <c r="E20" s="7" t="s">
        <v>546</v>
      </c>
      <c r="F20" s="6"/>
      <c r="G20" s="13">
        <v>1000</v>
      </c>
      <c r="H20" s="35">
        <v>1</v>
      </c>
      <c r="I20" s="35">
        <v>1</v>
      </c>
      <c r="J20" s="34">
        <f>365/7</f>
        <v>52.142857142857146</v>
      </c>
      <c r="K20" s="13">
        <f t="shared" si="0"/>
        <v>19.17808219178082</v>
      </c>
      <c r="L20" s="7" t="s">
        <v>1084</v>
      </c>
      <c r="M20" s="128"/>
    </row>
    <row r="21" spans="1:13" ht="18.95" customHeight="1" x14ac:dyDescent="0.25">
      <c r="A21" s="18"/>
      <c r="B21" s="7"/>
      <c r="C21" s="6"/>
      <c r="D21" s="18"/>
      <c r="E21" s="7"/>
      <c r="F21" s="6"/>
      <c r="G21" s="13"/>
      <c r="H21" s="35"/>
      <c r="I21" s="35"/>
      <c r="J21" s="34"/>
      <c r="K21" s="13"/>
      <c r="L21" s="7"/>
      <c r="M21" s="128"/>
    </row>
    <row r="22" spans="1:13" x14ac:dyDescent="0.25">
      <c r="D22" s="70" t="s">
        <v>876</v>
      </c>
      <c r="E22" s="100">
        <f>SUM(K5:K20)</f>
        <v>68.981758904109583</v>
      </c>
    </row>
  </sheetData>
  <phoneticPr fontId="23" type="noConversion"/>
  <printOptions gridLines="1"/>
  <pageMargins left="0.7" right="0.7" top="0.75" bottom="0.75" header="0.3" footer="0.3"/>
  <pageSetup paperSize="9" scale="7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15E7E-0ECD-4FE0-99D5-B598DB63D263}">
  <dimension ref="A1:M25"/>
  <sheetViews>
    <sheetView view="pageBreakPreview" zoomScaleNormal="80" zoomScaleSheetLayoutView="80" workbookViewId="0"/>
  </sheetViews>
  <sheetFormatPr defaultColWidth="8.85546875" defaultRowHeight="15" x14ac:dyDescent="0.25"/>
  <cols>
    <col min="1" max="1" width="6" customWidth="1"/>
    <col min="2" max="2" width="7.28515625" customWidth="1"/>
    <col min="3" max="3" width="6.85546875" customWidth="1"/>
    <col min="4" max="4" width="24.140625" customWidth="1"/>
    <col min="5" max="5" width="10.7109375" customWidth="1"/>
    <col min="6" max="6" width="11.28515625" customWidth="1"/>
    <col min="7" max="7" width="7.42578125" customWidth="1"/>
    <col min="8" max="8" width="6.7109375" customWidth="1"/>
    <col min="9" max="9" width="7.42578125" customWidth="1"/>
    <col min="10" max="10" width="8.28515625" customWidth="1"/>
    <col min="11" max="11" width="7.140625" customWidth="1"/>
    <col min="12" max="12" width="34.140625" customWidth="1"/>
    <col min="13" max="13" width="31.42578125" customWidth="1"/>
  </cols>
  <sheetData>
    <row r="1" spans="1:13" ht="15.75" x14ac:dyDescent="0.25">
      <c r="A1" s="2" t="s">
        <v>1368</v>
      </c>
      <c r="B1" s="16"/>
      <c r="C1" s="6"/>
    </row>
    <row r="2" spans="1:13" x14ac:dyDescent="0.25">
      <c r="A2" s="16" t="s">
        <v>535</v>
      </c>
      <c r="B2" s="16"/>
      <c r="C2" s="16"/>
    </row>
    <row r="3" spans="1:13" x14ac:dyDescent="0.25">
      <c r="A3" s="16" t="s">
        <v>844</v>
      </c>
      <c r="B3" s="16"/>
      <c r="C3" s="16"/>
    </row>
    <row r="4" spans="1:13" ht="22.5" x14ac:dyDescent="0.25">
      <c r="A4" s="26" t="s">
        <v>0</v>
      </c>
      <c r="B4" s="26" t="s">
        <v>1</v>
      </c>
      <c r="C4" s="26" t="s">
        <v>2</v>
      </c>
      <c r="D4" s="26" t="s">
        <v>3</v>
      </c>
      <c r="E4" s="26" t="s">
        <v>4</v>
      </c>
      <c r="F4" s="26" t="s">
        <v>6</v>
      </c>
      <c r="G4" s="27" t="s">
        <v>7</v>
      </c>
      <c r="H4" s="27" t="s">
        <v>8</v>
      </c>
      <c r="I4" s="26" t="s">
        <v>9</v>
      </c>
      <c r="J4" s="26" t="s">
        <v>10</v>
      </c>
      <c r="K4" s="27" t="s">
        <v>46</v>
      </c>
      <c r="L4" s="27" t="s">
        <v>12</v>
      </c>
      <c r="M4" s="26" t="s">
        <v>13</v>
      </c>
    </row>
    <row r="5" spans="1:13" ht="47.1" customHeight="1" x14ac:dyDescent="0.25">
      <c r="A5" s="6" t="s">
        <v>39</v>
      </c>
      <c r="B5" s="6">
        <v>9.4</v>
      </c>
      <c r="C5" s="28" t="s">
        <v>67</v>
      </c>
      <c r="D5" s="6" t="s">
        <v>553</v>
      </c>
      <c r="E5" s="6" t="s">
        <v>553</v>
      </c>
      <c r="F5" s="6" t="s">
        <v>554</v>
      </c>
      <c r="G5" s="42">
        <v>159</v>
      </c>
      <c r="H5" s="10">
        <v>1</v>
      </c>
      <c r="I5" s="43">
        <v>1</v>
      </c>
      <c r="J5" s="44">
        <f>365/7</f>
        <v>52.142857142857146</v>
      </c>
      <c r="K5" s="13">
        <f>G5*I5/J5</f>
        <v>3.0493150684931507</v>
      </c>
      <c r="L5" s="6"/>
      <c r="M5" s="7" t="s">
        <v>555</v>
      </c>
    </row>
    <row r="6" spans="1:13" ht="47.1" customHeight="1" x14ac:dyDescent="0.25">
      <c r="A6" s="28" t="s">
        <v>556</v>
      </c>
      <c r="B6" s="6">
        <v>8.3000000000000007</v>
      </c>
      <c r="C6" s="28" t="s">
        <v>67</v>
      </c>
      <c r="D6" s="70" t="s">
        <v>918</v>
      </c>
      <c r="E6" s="39" t="s">
        <v>919</v>
      </c>
      <c r="F6" s="70" t="s">
        <v>920</v>
      </c>
      <c r="G6" s="129">
        <v>78</v>
      </c>
      <c r="H6" s="10">
        <v>1</v>
      </c>
      <c r="I6" s="43">
        <v>1</v>
      </c>
      <c r="J6" s="44">
        <f>365/84</f>
        <v>4.3452380952380949</v>
      </c>
      <c r="K6" s="13">
        <f>G6*I6/J6</f>
        <v>17.950684931506849</v>
      </c>
      <c r="L6" s="6"/>
      <c r="M6" s="39" t="s">
        <v>921</v>
      </c>
    </row>
    <row r="7" spans="1:13" ht="18" customHeight="1" x14ac:dyDescent="0.25">
      <c r="A7" s="28" t="s">
        <v>556</v>
      </c>
      <c r="B7" s="28">
        <v>8.3000000000000007</v>
      </c>
      <c r="C7" s="6" t="s">
        <v>67</v>
      </c>
      <c r="D7" s="18" t="s">
        <v>558</v>
      </c>
      <c r="E7" s="18" t="s">
        <v>557</v>
      </c>
      <c r="F7" s="18"/>
      <c r="G7" s="13">
        <v>0</v>
      </c>
      <c r="H7" s="17">
        <v>1</v>
      </c>
      <c r="I7" s="36">
        <v>1</v>
      </c>
      <c r="J7" s="34">
        <v>0</v>
      </c>
      <c r="K7" s="13">
        <v>0</v>
      </c>
      <c r="L7" s="106"/>
      <c r="M7" s="8" t="s">
        <v>922</v>
      </c>
    </row>
    <row r="8" spans="1:13" ht="18" customHeight="1" x14ac:dyDescent="0.25">
      <c r="A8" s="28" t="s">
        <v>556</v>
      </c>
      <c r="B8" s="28">
        <v>9.4</v>
      </c>
      <c r="C8" s="108" t="s">
        <v>67</v>
      </c>
      <c r="D8" s="28" t="s">
        <v>559</v>
      </c>
      <c r="E8" s="18" t="s">
        <v>559</v>
      </c>
      <c r="F8" s="18" t="s">
        <v>560</v>
      </c>
      <c r="G8" s="13">
        <v>0</v>
      </c>
      <c r="H8" s="17">
        <v>1</v>
      </c>
      <c r="I8" s="36">
        <v>1</v>
      </c>
      <c r="J8" s="34">
        <f>365/84*1</f>
        <v>4.3452380952380949</v>
      </c>
      <c r="K8" s="13">
        <f t="shared" ref="K8:K19" si="0">G8*I8/J8</f>
        <v>0</v>
      </c>
      <c r="L8" s="106"/>
      <c r="M8" s="8" t="s">
        <v>922</v>
      </c>
    </row>
    <row r="9" spans="1:13" ht="23.1" customHeight="1" x14ac:dyDescent="0.25">
      <c r="A9" s="28" t="s">
        <v>556</v>
      </c>
      <c r="B9" s="28">
        <v>9.4</v>
      </c>
      <c r="C9" s="108" t="s">
        <v>67</v>
      </c>
      <c r="D9" s="28" t="s">
        <v>923</v>
      </c>
      <c r="E9" s="18" t="s">
        <v>924</v>
      </c>
      <c r="F9" s="18" t="s">
        <v>925</v>
      </c>
      <c r="G9" s="13">
        <v>10.99</v>
      </c>
      <c r="H9" s="17">
        <v>1</v>
      </c>
      <c r="I9" s="36">
        <v>1</v>
      </c>
      <c r="J9" s="34">
        <f>365/84*1</f>
        <v>4.3452380952380949</v>
      </c>
      <c r="K9" s="13">
        <f t="shared" si="0"/>
        <v>2.5292054794520551</v>
      </c>
      <c r="L9" s="106"/>
      <c r="M9" s="8"/>
    </row>
    <row r="10" spans="1:13" ht="15" customHeight="1" x14ac:dyDescent="0.25">
      <c r="A10" s="28" t="s">
        <v>556</v>
      </c>
      <c r="B10" s="28">
        <v>9.4</v>
      </c>
      <c r="C10" s="108" t="s">
        <v>67</v>
      </c>
      <c r="D10" s="28" t="s">
        <v>559</v>
      </c>
      <c r="E10" s="18"/>
      <c r="F10" s="18" t="s">
        <v>926</v>
      </c>
      <c r="G10" s="13">
        <v>8.99</v>
      </c>
      <c r="H10" s="17">
        <v>1</v>
      </c>
      <c r="I10" s="36">
        <v>1</v>
      </c>
      <c r="J10" s="34">
        <f>365/84*1</f>
        <v>4.3452380952380949</v>
      </c>
      <c r="K10" s="13">
        <f t="shared" ref="K10" si="1">G10*I10/J10</f>
        <v>2.0689315068493155</v>
      </c>
      <c r="L10" s="106"/>
      <c r="M10" s="8"/>
    </row>
    <row r="11" spans="1:13" ht="20.100000000000001" customHeight="1" x14ac:dyDescent="0.25">
      <c r="A11" s="10" t="s">
        <v>556</v>
      </c>
      <c r="B11" s="28">
        <v>9.4</v>
      </c>
      <c r="C11" s="108" t="s">
        <v>67</v>
      </c>
      <c r="D11" s="10" t="s">
        <v>558</v>
      </c>
      <c r="E11" s="10" t="s">
        <v>561</v>
      </c>
      <c r="F11" s="28"/>
      <c r="G11" s="130">
        <v>50</v>
      </c>
      <c r="H11" s="131">
        <v>1</v>
      </c>
      <c r="I11" s="132">
        <v>2</v>
      </c>
      <c r="J11" s="133">
        <v>1</v>
      </c>
      <c r="K11" s="13">
        <f t="shared" si="0"/>
        <v>100</v>
      </c>
      <c r="L11" s="28" t="s">
        <v>927</v>
      </c>
      <c r="M11" s="28"/>
    </row>
    <row r="12" spans="1:13" ht="45.6" customHeight="1" x14ac:dyDescent="0.25">
      <c r="A12" s="108" t="s">
        <v>562</v>
      </c>
      <c r="B12" s="108">
        <v>9.6</v>
      </c>
      <c r="C12" s="108" t="s">
        <v>67</v>
      </c>
      <c r="D12" s="108" t="s">
        <v>565</v>
      </c>
      <c r="E12" s="28" t="s">
        <v>565</v>
      </c>
      <c r="F12" s="28" t="s">
        <v>1091</v>
      </c>
      <c r="G12" s="130">
        <v>1544.48</v>
      </c>
      <c r="H12" s="131">
        <v>1</v>
      </c>
      <c r="I12" s="132">
        <v>2</v>
      </c>
      <c r="J12" s="12">
        <f>365/7</f>
        <v>52.142857142857146</v>
      </c>
      <c r="K12" s="13">
        <f t="shared" si="0"/>
        <v>59.240328767123287</v>
      </c>
      <c r="L12" s="28" t="s">
        <v>1090</v>
      </c>
      <c r="M12" s="29" t="s">
        <v>1092</v>
      </c>
    </row>
    <row r="13" spans="1:13" ht="32.450000000000003" customHeight="1" x14ac:dyDescent="0.25">
      <c r="A13" s="108" t="s">
        <v>562</v>
      </c>
      <c r="B13" s="108">
        <v>9.6</v>
      </c>
      <c r="C13" s="108" t="s">
        <v>67</v>
      </c>
      <c r="D13" s="108" t="s">
        <v>565</v>
      </c>
      <c r="E13" s="28" t="s">
        <v>570</v>
      </c>
      <c r="F13" s="28"/>
      <c r="G13" s="130">
        <v>1200</v>
      </c>
      <c r="H13" s="108"/>
      <c r="I13" s="132">
        <v>2</v>
      </c>
      <c r="J13" s="12">
        <f>365/7</f>
        <v>52.142857142857146</v>
      </c>
      <c r="K13" s="13">
        <f>G13*I13/J13</f>
        <v>46.027397260273972</v>
      </c>
      <c r="L13" s="28" t="s">
        <v>1093</v>
      </c>
      <c r="M13" s="28"/>
    </row>
    <row r="14" spans="1:13" ht="29.1" customHeight="1" x14ac:dyDescent="0.25">
      <c r="A14" s="6" t="s">
        <v>562</v>
      </c>
      <c r="B14" s="6">
        <v>9.4</v>
      </c>
      <c r="C14" s="6" t="s">
        <v>67</v>
      </c>
      <c r="D14" s="6" t="s">
        <v>1099</v>
      </c>
      <c r="E14" s="18" t="s">
        <v>565</v>
      </c>
      <c r="F14" s="7"/>
      <c r="G14" s="19">
        <v>369</v>
      </c>
      <c r="H14" s="17">
        <v>1</v>
      </c>
      <c r="I14" s="17">
        <v>1</v>
      </c>
      <c r="J14" s="114">
        <v>52.1</v>
      </c>
      <c r="K14" s="13">
        <f t="shared" ref="K14:K15" si="2">G14*I14/J14</f>
        <v>7.0825335892514394</v>
      </c>
      <c r="L14" s="7" t="s">
        <v>1094</v>
      </c>
      <c r="M14" s="7" t="s">
        <v>1095</v>
      </c>
    </row>
    <row r="15" spans="1:13" ht="45.6" customHeight="1" x14ac:dyDescent="0.25">
      <c r="A15" s="6" t="s">
        <v>562</v>
      </c>
      <c r="B15" s="6">
        <v>9.4</v>
      </c>
      <c r="C15" s="6" t="s">
        <v>67</v>
      </c>
      <c r="D15" s="6" t="s">
        <v>1099</v>
      </c>
      <c r="E15" s="18" t="s">
        <v>565</v>
      </c>
      <c r="F15" s="28"/>
      <c r="G15" s="130">
        <v>199</v>
      </c>
      <c r="H15" s="17">
        <v>1</v>
      </c>
      <c r="I15" s="17">
        <v>1</v>
      </c>
      <c r="J15" s="114">
        <v>52.1</v>
      </c>
      <c r="K15" s="13">
        <f t="shared" si="2"/>
        <v>3.81957773512476</v>
      </c>
      <c r="L15" s="7" t="s">
        <v>1094</v>
      </c>
      <c r="M15" s="7" t="s">
        <v>1096</v>
      </c>
    </row>
    <row r="16" spans="1:13" ht="45.6" customHeight="1" x14ac:dyDescent="0.25">
      <c r="A16" s="6" t="s">
        <v>562</v>
      </c>
      <c r="B16" s="6">
        <v>9.4</v>
      </c>
      <c r="C16" s="6" t="s">
        <v>67</v>
      </c>
      <c r="D16" s="6" t="s">
        <v>1099</v>
      </c>
      <c r="E16" s="18" t="s">
        <v>565</v>
      </c>
      <c r="F16" s="28"/>
      <c r="G16" s="130">
        <v>189</v>
      </c>
      <c r="H16" s="17">
        <v>1</v>
      </c>
      <c r="I16" s="17">
        <v>1</v>
      </c>
      <c r="J16" s="114">
        <v>52.1</v>
      </c>
      <c r="K16" s="13">
        <f>G16*I16/J16</f>
        <v>3.6276391554702494</v>
      </c>
      <c r="L16" s="7" t="s">
        <v>1094</v>
      </c>
      <c r="M16" s="7" t="s">
        <v>1098</v>
      </c>
    </row>
    <row r="17" spans="1:13" ht="32.450000000000003" customHeight="1" x14ac:dyDescent="0.25">
      <c r="A17" s="108" t="s">
        <v>562</v>
      </c>
      <c r="B17" s="108">
        <v>9.4</v>
      </c>
      <c r="C17" s="108" t="s">
        <v>67</v>
      </c>
      <c r="D17" s="6" t="s">
        <v>1099</v>
      </c>
      <c r="E17" s="28" t="s">
        <v>570</v>
      </c>
      <c r="F17" s="28"/>
      <c r="G17" s="130">
        <v>400</v>
      </c>
      <c r="H17" s="108"/>
      <c r="I17" s="132">
        <v>3</v>
      </c>
      <c r="J17" s="12">
        <f>365/7</f>
        <v>52.142857142857146</v>
      </c>
      <c r="K17" s="13">
        <f>G17*I17/J17</f>
        <v>23.013698630136986</v>
      </c>
      <c r="L17" s="28" t="s">
        <v>1097</v>
      </c>
      <c r="M17" s="28"/>
    </row>
    <row r="18" spans="1:13" ht="39.6" customHeight="1" x14ac:dyDescent="0.25">
      <c r="A18" s="134" t="s">
        <v>556</v>
      </c>
      <c r="B18" s="134">
        <v>12.7</v>
      </c>
      <c r="C18" s="108" t="s">
        <v>67</v>
      </c>
      <c r="D18" s="29" t="s">
        <v>563</v>
      </c>
      <c r="E18" s="6" t="s">
        <v>564</v>
      </c>
      <c r="F18" s="6"/>
      <c r="G18" s="13">
        <v>93</v>
      </c>
      <c r="H18" s="35">
        <v>1</v>
      </c>
      <c r="I18" s="35">
        <v>2</v>
      </c>
      <c r="J18" s="34">
        <f>365/7*10</f>
        <v>521.42857142857144</v>
      </c>
      <c r="K18" s="13">
        <f t="shared" si="0"/>
        <v>0.35671232876712328</v>
      </c>
      <c r="L18" s="6" t="s">
        <v>1088</v>
      </c>
      <c r="M18" s="7" t="s">
        <v>566</v>
      </c>
    </row>
    <row r="19" spans="1:13" ht="26.45" customHeight="1" x14ac:dyDescent="0.25">
      <c r="A19" s="134" t="s">
        <v>556</v>
      </c>
      <c r="B19" s="134">
        <v>12.7</v>
      </c>
      <c r="C19" s="108" t="s">
        <v>67</v>
      </c>
      <c r="D19" s="29" t="s">
        <v>563</v>
      </c>
      <c r="E19" s="134" t="s">
        <v>567</v>
      </c>
      <c r="F19" s="29" t="s">
        <v>568</v>
      </c>
      <c r="G19" s="135">
        <v>6</v>
      </c>
      <c r="H19" s="134"/>
      <c r="I19" s="136">
        <v>2</v>
      </c>
      <c r="J19" s="137">
        <f>365/7*10</f>
        <v>521.42857142857144</v>
      </c>
      <c r="K19" s="13">
        <f t="shared" si="0"/>
        <v>2.3013698630136987E-2</v>
      </c>
      <c r="L19" s="28" t="s">
        <v>1089</v>
      </c>
      <c r="M19" s="28" t="s">
        <v>569</v>
      </c>
    </row>
    <row r="21" spans="1:13" x14ac:dyDescent="0.25">
      <c r="D21" s="70"/>
    </row>
    <row r="22" spans="1:13" x14ac:dyDescent="0.25">
      <c r="D22" s="70" t="s">
        <v>878</v>
      </c>
      <c r="E22" s="64">
        <f>SUM(K7+K8+K11+K18+K19+K9+K6+K10)</f>
        <v>122.92854794520548</v>
      </c>
    </row>
    <row r="23" spans="1:13" x14ac:dyDescent="0.25">
      <c r="D23" s="70" t="s">
        <v>879</v>
      </c>
      <c r="E23" s="64">
        <f>K5</f>
        <v>3.0493150684931507</v>
      </c>
    </row>
    <row r="24" spans="1:13" x14ac:dyDescent="0.25">
      <c r="D24" s="70" t="s">
        <v>880</v>
      </c>
      <c r="E24" s="64">
        <f>SUM(K12:K13)</f>
        <v>105.26772602739726</v>
      </c>
    </row>
    <row r="25" spans="1:13" x14ac:dyDescent="0.25">
      <c r="D25" s="70" t="s">
        <v>881</v>
      </c>
      <c r="E25" s="64">
        <f>SUM(K14:K17)</f>
        <v>37.543449109983435</v>
      </c>
    </row>
  </sheetData>
  <phoneticPr fontId="23" type="noConversion"/>
  <printOptions gridLines="1"/>
  <pageMargins left="0.7" right="0.7" top="0.75" bottom="0.75" header="0.3" footer="0.3"/>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721FA-AA50-45BA-ABF4-0C812EC319C6}">
  <dimension ref="A1:Y111"/>
  <sheetViews>
    <sheetView view="pageBreakPreview" zoomScale="112" zoomScaleNormal="100" zoomScaleSheetLayoutView="100" workbookViewId="0"/>
  </sheetViews>
  <sheetFormatPr defaultColWidth="8.7109375" defaultRowHeight="15" x14ac:dyDescent="0.25"/>
  <cols>
    <col min="1" max="1" width="6.140625" style="81" customWidth="1"/>
    <col min="2" max="2" width="7.140625" style="81" customWidth="1"/>
    <col min="3" max="3" width="7.42578125" style="81" customWidth="1"/>
    <col min="4" max="4" width="22" style="82" customWidth="1"/>
    <col min="5" max="5" width="14.42578125" style="81" customWidth="1"/>
    <col min="6" max="6" width="10" style="81" customWidth="1"/>
    <col min="7" max="7" width="8.42578125" style="81" customWidth="1"/>
    <col min="8" max="8" width="8.28515625" style="81" customWidth="1"/>
    <col min="9" max="9" width="8" style="81" customWidth="1"/>
    <col min="10" max="10" width="10.42578125" style="81" customWidth="1"/>
    <col min="11" max="11" width="8.42578125" style="81" customWidth="1"/>
    <col min="12" max="12" width="27.85546875" style="81" customWidth="1"/>
    <col min="13" max="13" width="30.42578125" style="81" customWidth="1"/>
    <col min="14" max="14" width="39.85546875" style="58" customWidth="1"/>
    <col min="20" max="20" width="9.42578125" bestFit="1" customWidth="1"/>
    <col min="21" max="21" width="10.42578125" bestFit="1" customWidth="1"/>
    <col min="23" max="16384" width="8.7109375" style="81"/>
  </cols>
  <sheetData>
    <row r="1" spans="1:22" ht="15.75" x14ac:dyDescent="0.25">
      <c r="A1" s="2" t="s">
        <v>1368</v>
      </c>
    </row>
    <row r="2" spans="1:22" x14ac:dyDescent="0.25">
      <c r="A2" s="80" t="s">
        <v>845</v>
      </c>
      <c r="K2" s="13"/>
      <c r="N2" s="83"/>
      <c r="P2" s="84"/>
    </row>
    <row r="3" spans="1:22" x14ac:dyDescent="0.25">
      <c r="A3" s="80" t="s">
        <v>846</v>
      </c>
      <c r="K3" s="13"/>
      <c r="N3" s="83"/>
      <c r="P3" s="84"/>
    </row>
    <row r="4" spans="1:22" s="88" customFormat="1" ht="22.5" x14ac:dyDescent="0.2">
      <c r="A4" s="25" t="s">
        <v>0</v>
      </c>
      <c r="B4" s="25" t="s">
        <v>1</v>
      </c>
      <c r="C4" s="25" t="s">
        <v>2</v>
      </c>
      <c r="D4" s="25" t="s">
        <v>4</v>
      </c>
      <c r="E4" s="25" t="s">
        <v>5</v>
      </c>
      <c r="F4" s="25" t="s">
        <v>6</v>
      </c>
      <c r="G4" s="85" t="s">
        <v>7</v>
      </c>
      <c r="H4" s="85" t="s">
        <v>8</v>
      </c>
      <c r="I4" s="25" t="s">
        <v>9</v>
      </c>
      <c r="J4" s="26" t="s">
        <v>10</v>
      </c>
      <c r="K4" s="85" t="s">
        <v>11</v>
      </c>
      <c r="L4" s="85" t="s">
        <v>12</v>
      </c>
      <c r="M4" s="25" t="s">
        <v>13</v>
      </c>
      <c r="N4" s="86"/>
      <c r="O4" s="87"/>
      <c r="P4" s="58"/>
      <c r="Q4" s="58"/>
      <c r="R4" s="87"/>
      <c r="S4" s="87"/>
      <c r="T4" s="87"/>
      <c r="U4" s="87"/>
      <c r="V4" s="87"/>
    </row>
    <row r="5" spans="1:22" s="70" customFormat="1" ht="21.6" customHeight="1" x14ac:dyDescent="0.25">
      <c r="A5" s="39" t="s">
        <v>600</v>
      </c>
      <c r="B5" s="58">
        <v>1.1000000000000001</v>
      </c>
      <c r="C5" s="39" t="s">
        <v>67</v>
      </c>
      <c r="D5" s="58" t="s">
        <v>605</v>
      </c>
      <c r="E5" s="70" t="s">
        <v>606</v>
      </c>
      <c r="F5" s="70" t="s">
        <v>51</v>
      </c>
      <c r="G5" s="89">
        <v>3.5</v>
      </c>
      <c r="H5" s="62">
        <v>24</v>
      </c>
      <c r="I5" s="62">
        <v>1</v>
      </c>
      <c r="J5" s="90">
        <v>2.4</v>
      </c>
      <c r="K5" s="13">
        <f t="shared" ref="K5:K65" si="0">(G5*I5)/J5</f>
        <v>1.4583333333333335</v>
      </c>
      <c r="L5" s="7" t="s">
        <v>662</v>
      </c>
      <c r="M5" s="7" t="s">
        <v>663</v>
      </c>
      <c r="N5" s="39"/>
      <c r="O5"/>
      <c r="P5"/>
      <c r="Q5"/>
      <c r="R5"/>
      <c r="S5"/>
      <c r="T5"/>
      <c r="U5"/>
      <c r="V5"/>
    </row>
    <row r="6" spans="1:22" s="70" customFormat="1" ht="22.5" x14ac:dyDescent="0.25">
      <c r="A6" s="39" t="s">
        <v>600</v>
      </c>
      <c r="B6" s="58">
        <v>1.1000000000000001</v>
      </c>
      <c r="C6" s="39" t="s">
        <v>67</v>
      </c>
      <c r="D6" s="7" t="s">
        <v>664</v>
      </c>
      <c r="E6" s="70" t="s">
        <v>51</v>
      </c>
      <c r="F6" s="70" t="s">
        <v>51</v>
      </c>
      <c r="G6" s="89">
        <v>1.45</v>
      </c>
      <c r="H6" s="62" t="s">
        <v>665</v>
      </c>
      <c r="I6" s="62">
        <v>2</v>
      </c>
      <c r="J6" s="90">
        <v>1.03</v>
      </c>
      <c r="K6" s="13">
        <f t="shared" si="0"/>
        <v>2.8155339805825239</v>
      </c>
      <c r="L6" s="7" t="s">
        <v>666</v>
      </c>
      <c r="M6" s="7" t="s">
        <v>1073</v>
      </c>
      <c r="N6" s="39"/>
      <c r="O6"/>
      <c r="P6"/>
      <c r="Q6"/>
      <c r="R6"/>
      <c r="S6"/>
      <c r="T6"/>
      <c r="U6"/>
      <c r="V6"/>
    </row>
    <row r="7" spans="1:22" s="70" customFormat="1" ht="22.5" x14ac:dyDescent="0.25">
      <c r="A7" s="39" t="s">
        <v>600</v>
      </c>
      <c r="B7" s="58">
        <v>1.1000000000000001</v>
      </c>
      <c r="C7" s="39" t="s">
        <v>67</v>
      </c>
      <c r="D7" s="7" t="s">
        <v>607</v>
      </c>
      <c r="E7" s="58" t="s">
        <v>943</v>
      </c>
      <c r="F7" s="70" t="s">
        <v>51</v>
      </c>
      <c r="G7" s="91">
        <v>1.35</v>
      </c>
      <c r="H7" s="92">
        <v>18</v>
      </c>
      <c r="I7" s="62">
        <v>2</v>
      </c>
      <c r="J7" s="90">
        <v>1.24</v>
      </c>
      <c r="K7" s="13">
        <f t="shared" si="0"/>
        <v>2.17741935483871</v>
      </c>
      <c r="L7" s="7" t="s">
        <v>667</v>
      </c>
      <c r="M7" s="58" t="s">
        <v>942</v>
      </c>
      <c r="N7" s="39"/>
      <c r="O7"/>
      <c r="P7"/>
      <c r="Q7"/>
      <c r="R7"/>
      <c r="S7"/>
      <c r="T7"/>
      <c r="U7"/>
      <c r="V7"/>
    </row>
    <row r="8" spans="1:22" s="70" customFormat="1" ht="22.5" x14ac:dyDescent="0.25">
      <c r="A8" s="39" t="s">
        <v>600</v>
      </c>
      <c r="B8" s="58">
        <v>1.1000000000000001</v>
      </c>
      <c r="C8" s="39" t="s">
        <v>67</v>
      </c>
      <c r="D8" s="7" t="s">
        <v>668</v>
      </c>
      <c r="E8" s="70" t="s">
        <v>650</v>
      </c>
      <c r="F8" s="70" t="s">
        <v>51</v>
      </c>
      <c r="G8" s="89">
        <v>2.5</v>
      </c>
      <c r="H8" s="62" t="s">
        <v>945</v>
      </c>
      <c r="I8" s="62">
        <v>1</v>
      </c>
      <c r="J8" s="90">
        <v>1</v>
      </c>
      <c r="K8" s="13">
        <f t="shared" si="0"/>
        <v>2.5</v>
      </c>
      <c r="L8" s="7" t="s">
        <v>669</v>
      </c>
      <c r="M8" s="7" t="s">
        <v>944</v>
      </c>
      <c r="N8" s="39"/>
      <c r="O8"/>
      <c r="P8"/>
      <c r="Q8"/>
      <c r="R8"/>
      <c r="S8"/>
      <c r="T8"/>
      <c r="U8"/>
      <c r="V8"/>
    </row>
    <row r="9" spans="1:22" s="70" customFormat="1" ht="22.5" x14ac:dyDescent="0.25">
      <c r="A9" s="39" t="s">
        <v>600</v>
      </c>
      <c r="B9" s="58">
        <v>1.1000000000000001</v>
      </c>
      <c r="C9" s="39" t="s">
        <v>67</v>
      </c>
      <c r="D9" s="7" t="s">
        <v>670</v>
      </c>
      <c r="E9" s="70" t="s">
        <v>948</v>
      </c>
      <c r="F9" s="70" t="s">
        <v>51</v>
      </c>
      <c r="G9" s="89">
        <v>3.3</v>
      </c>
      <c r="H9" s="62" t="s">
        <v>947</v>
      </c>
      <c r="I9" s="62">
        <v>1</v>
      </c>
      <c r="J9" s="90">
        <f>370/60</f>
        <v>6.166666666666667</v>
      </c>
      <c r="K9" s="13">
        <f t="shared" si="0"/>
        <v>0.53513513513513511</v>
      </c>
      <c r="L9" s="7" t="s">
        <v>627</v>
      </c>
      <c r="M9" s="7" t="s">
        <v>946</v>
      </c>
      <c r="N9" s="39"/>
      <c r="O9"/>
      <c r="P9"/>
      <c r="Q9"/>
      <c r="R9"/>
      <c r="S9"/>
      <c r="T9"/>
      <c r="U9"/>
      <c r="V9"/>
    </row>
    <row r="10" spans="1:22" s="70" customFormat="1" ht="24.95" customHeight="1" x14ac:dyDescent="0.25">
      <c r="A10" s="39" t="s">
        <v>600</v>
      </c>
      <c r="B10" s="58">
        <v>1.1000000000000001</v>
      </c>
      <c r="C10" s="39" t="s">
        <v>67</v>
      </c>
      <c r="D10" s="7" t="s">
        <v>602</v>
      </c>
      <c r="E10" s="70" t="s">
        <v>951</v>
      </c>
      <c r="F10" s="70" t="s">
        <v>51</v>
      </c>
      <c r="G10" s="89">
        <v>4.5</v>
      </c>
      <c r="H10" s="62" t="s">
        <v>625</v>
      </c>
      <c r="I10" s="62">
        <v>1</v>
      </c>
      <c r="J10" s="90">
        <v>1</v>
      </c>
      <c r="K10" s="13">
        <f t="shared" si="0"/>
        <v>4.5</v>
      </c>
      <c r="L10" s="7" t="s">
        <v>950</v>
      </c>
      <c r="M10" s="7" t="s">
        <v>949</v>
      </c>
      <c r="N10" s="39"/>
      <c r="O10"/>
      <c r="P10"/>
      <c r="Q10"/>
      <c r="R10"/>
      <c r="S10"/>
      <c r="T10"/>
      <c r="U10"/>
      <c r="V10"/>
    </row>
    <row r="11" spans="1:22" s="70" customFormat="1" ht="33.75" x14ac:dyDescent="0.25">
      <c r="A11" s="39" t="s">
        <v>600</v>
      </c>
      <c r="B11" s="58">
        <v>1.1000000000000001</v>
      </c>
      <c r="C11" s="39" t="s">
        <v>67</v>
      </c>
      <c r="D11" s="7" t="s">
        <v>671</v>
      </c>
      <c r="E11" s="70" t="s">
        <v>51</v>
      </c>
      <c r="F11" s="70" t="s">
        <v>51</v>
      </c>
      <c r="G11" s="89">
        <v>2.25</v>
      </c>
      <c r="H11" s="62" t="s">
        <v>953</v>
      </c>
      <c r="I11" s="62">
        <v>2</v>
      </c>
      <c r="J11" s="90">
        <f>3500/2240</f>
        <v>1.5625</v>
      </c>
      <c r="K11" s="13">
        <f t="shared" si="0"/>
        <v>2.88</v>
      </c>
      <c r="L11" s="7" t="s">
        <v>672</v>
      </c>
      <c r="M11" s="7" t="s">
        <v>952</v>
      </c>
      <c r="N11" s="39"/>
      <c r="O11"/>
      <c r="P11"/>
      <c r="Q11"/>
      <c r="R11"/>
      <c r="S11"/>
      <c r="T11"/>
      <c r="U11"/>
      <c r="V11"/>
    </row>
    <row r="12" spans="1:22" s="70" customFormat="1" ht="22.5" x14ac:dyDescent="0.25">
      <c r="A12" s="39" t="s">
        <v>600</v>
      </c>
      <c r="B12" s="58">
        <v>1.1000000000000001</v>
      </c>
      <c r="C12" s="39" t="s">
        <v>67</v>
      </c>
      <c r="D12" s="7" t="s">
        <v>673</v>
      </c>
      <c r="E12" s="70" t="s">
        <v>51</v>
      </c>
      <c r="F12" s="70" t="s">
        <v>51</v>
      </c>
      <c r="G12" s="89">
        <v>2.25</v>
      </c>
      <c r="H12" s="62" t="s">
        <v>955</v>
      </c>
      <c r="I12" s="62">
        <v>1</v>
      </c>
      <c r="J12" s="90">
        <f>10/8</f>
        <v>1.25</v>
      </c>
      <c r="K12" s="13">
        <f t="shared" si="0"/>
        <v>1.8</v>
      </c>
      <c r="L12" s="7" t="s">
        <v>674</v>
      </c>
      <c r="M12" s="7" t="s">
        <v>954</v>
      </c>
      <c r="N12" s="39"/>
      <c r="O12"/>
      <c r="P12"/>
      <c r="Q12"/>
      <c r="R12"/>
      <c r="S12"/>
      <c r="T12"/>
      <c r="U12"/>
      <c r="V12"/>
    </row>
    <row r="13" spans="1:22" s="70" customFormat="1" ht="17.100000000000001" customHeight="1" x14ac:dyDescent="0.25">
      <c r="A13" s="39" t="s">
        <v>600</v>
      </c>
      <c r="B13" s="58">
        <v>1.1000000000000001</v>
      </c>
      <c r="C13" s="39" t="s">
        <v>67</v>
      </c>
      <c r="D13" s="7" t="s">
        <v>675</v>
      </c>
      <c r="E13" s="70" t="s">
        <v>51</v>
      </c>
      <c r="F13" s="70" t="s">
        <v>51</v>
      </c>
      <c r="G13" s="89">
        <v>1.55</v>
      </c>
      <c r="H13" s="62">
        <v>2</v>
      </c>
      <c r="I13" s="62">
        <v>1</v>
      </c>
      <c r="J13" s="90">
        <v>1</v>
      </c>
      <c r="K13" s="13">
        <f t="shared" si="0"/>
        <v>1.55</v>
      </c>
      <c r="L13" s="7" t="s">
        <v>676</v>
      </c>
      <c r="M13" s="7" t="s">
        <v>956</v>
      </c>
      <c r="N13" s="39"/>
      <c r="O13"/>
      <c r="P13"/>
      <c r="Q13"/>
      <c r="R13"/>
      <c r="S13"/>
      <c r="T13"/>
      <c r="U13"/>
      <c r="V13"/>
    </row>
    <row r="14" spans="1:22" s="70" customFormat="1" ht="22.5" x14ac:dyDescent="0.25">
      <c r="A14" s="39" t="s">
        <v>600</v>
      </c>
      <c r="B14" s="58">
        <v>1.1000000000000001</v>
      </c>
      <c r="C14" s="39" t="s">
        <v>67</v>
      </c>
      <c r="D14" s="7" t="s">
        <v>677</v>
      </c>
      <c r="E14" s="70" t="s">
        <v>958</v>
      </c>
      <c r="F14" s="70" t="s">
        <v>51</v>
      </c>
      <c r="G14" s="89">
        <v>2</v>
      </c>
      <c r="H14" s="62">
        <v>4</v>
      </c>
      <c r="I14" s="62">
        <v>2</v>
      </c>
      <c r="J14" s="90">
        <f>8/6</f>
        <v>1.3333333333333333</v>
      </c>
      <c r="K14" s="13">
        <f t="shared" si="0"/>
        <v>3</v>
      </c>
      <c r="L14" s="7" t="s">
        <v>678</v>
      </c>
      <c r="M14" s="7" t="s">
        <v>957</v>
      </c>
      <c r="N14" s="39"/>
      <c r="O14"/>
      <c r="P14"/>
      <c r="Q14"/>
      <c r="R14"/>
      <c r="S14"/>
      <c r="T14"/>
      <c r="U14"/>
      <c r="V14"/>
    </row>
    <row r="15" spans="1:22" s="70" customFormat="1" x14ac:dyDescent="0.25">
      <c r="A15" s="39" t="s">
        <v>600</v>
      </c>
      <c r="B15" s="58">
        <v>1.1000000000000001</v>
      </c>
      <c r="C15" s="39" t="s">
        <v>67</v>
      </c>
      <c r="D15" s="7" t="s">
        <v>679</v>
      </c>
      <c r="E15" s="70" t="s">
        <v>51</v>
      </c>
      <c r="F15" s="70" t="s">
        <v>51</v>
      </c>
      <c r="G15" s="89">
        <v>0.78</v>
      </c>
      <c r="H15" s="62">
        <v>5</v>
      </c>
      <c r="I15" s="62">
        <v>2</v>
      </c>
      <c r="J15" s="90">
        <v>1</v>
      </c>
      <c r="K15" s="13">
        <f t="shared" si="0"/>
        <v>1.56</v>
      </c>
      <c r="L15" s="7" t="s">
        <v>680</v>
      </c>
      <c r="M15" s="7" t="s">
        <v>959</v>
      </c>
      <c r="N15" s="39"/>
      <c r="O15"/>
      <c r="P15"/>
      <c r="Q15"/>
      <c r="R15"/>
      <c r="S15"/>
      <c r="T15"/>
      <c r="U15"/>
      <c r="V15"/>
    </row>
    <row r="16" spans="1:22" s="70" customFormat="1" ht="22.5" x14ac:dyDescent="0.25">
      <c r="A16" s="39" t="s">
        <v>600</v>
      </c>
      <c r="B16" s="58">
        <v>1.1000000000000001</v>
      </c>
      <c r="C16" s="39" t="s">
        <v>67</v>
      </c>
      <c r="D16" s="7" t="s">
        <v>681</v>
      </c>
      <c r="E16" s="70" t="s">
        <v>28</v>
      </c>
      <c r="F16" s="70" t="s">
        <v>51</v>
      </c>
      <c r="G16" s="89">
        <v>2.4</v>
      </c>
      <c r="H16" s="62" t="s">
        <v>618</v>
      </c>
      <c r="I16" s="62">
        <v>1</v>
      </c>
      <c r="J16" s="90">
        <v>15.38</v>
      </c>
      <c r="K16" s="13">
        <f t="shared" si="0"/>
        <v>0.15604681404421325</v>
      </c>
      <c r="L16" s="7" t="s">
        <v>682</v>
      </c>
      <c r="M16" s="7" t="s">
        <v>960</v>
      </c>
      <c r="N16" s="39"/>
      <c r="O16"/>
      <c r="P16"/>
      <c r="Q16"/>
      <c r="R16"/>
      <c r="S16"/>
      <c r="T16"/>
      <c r="U16"/>
      <c r="V16"/>
    </row>
    <row r="17" spans="1:22" s="70" customFormat="1" x14ac:dyDescent="0.25">
      <c r="A17" s="39" t="s">
        <v>600</v>
      </c>
      <c r="B17" s="58">
        <v>1.1000000000000001</v>
      </c>
      <c r="C17" s="39" t="s">
        <v>67</v>
      </c>
      <c r="D17" s="7" t="s">
        <v>683</v>
      </c>
      <c r="E17" s="39" t="s">
        <v>962</v>
      </c>
      <c r="F17" s="70" t="s">
        <v>51</v>
      </c>
      <c r="G17" s="89">
        <v>3.85</v>
      </c>
      <c r="H17" s="62">
        <v>10</v>
      </c>
      <c r="I17" s="62">
        <v>1</v>
      </c>
      <c r="J17" s="90">
        <v>1</v>
      </c>
      <c r="K17" s="13">
        <f t="shared" si="0"/>
        <v>3.85</v>
      </c>
      <c r="L17" s="7" t="s">
        <v>684</v>
      </c>
      <c r="M17" s="7" t="s">
        <v>961</v>
      </c>
      <c r="N17" s="39"/>
      <c r="O17"/>
      <c r="P17"/>
      <c r="Q17"/>
      <c r="R17"/>
      <c r="S17"/>
      <c r="T17"/>
      <c r="U17"/>
      <c r="V17"/>
    </row>
    <row r="18" spans="1:22" s="70" customFormat="1" ht="22.5" x14ac:dyDescent="0.25">
      <c r="A18" s="39" t="s">
        <v>600</v>
      </c>
      <c r="B18" s="58">
        <v>1.1000000000000001</v>
      </c>
      <c r="C18" s="39" t="s">
        <v>67</v>
      </c>
      <c r="D18" s="7" t="s">
        <v>685</v>
      </c>
      <c r="E18" s="70" t="s">
        <v>51</v>
      </c>
      <c r="F18" s="70" t="s">
        <v>51</v>
      </c>
      <c r="G18" s="89">
        <v>3.25</v>
      </c>
      <c r="H18" s="62">
        <v>6</v>
      </c>
      <c r="I18" s="62">
        <v>1</v>
      </c>
      <c r="J18" s="90">
        <v>3</v>
      </c>
      <c r="K18" s="13">
        <f t="shared" si="0"/>
        <v>1.0833333333333333</v>
      </c>
      <c r="L18" s="7" t="s">
        <v>686</v>
      </c>
      <c r="M18" s="7" t="s">
        <v>963</v>
      </c>
      <c r="N18" s="39"/>
      <c r="O18"/>
      <c r="P18"/>
      <c r="Q18"/>
      <c r="R18"/>
      <c r="S18"/>
      <c r="T18"/>
      <c r="U18"/>
      <c r="V18"/>
    </row>
    <row r="19" spans="1:22" s="70" customFormat="1" x14ac:dyDescent="0.25">
      <c r="A19" s="39" t="s">
        <v>600</v>
      </c>
      <c r="B19" s="58">
        <v>1.1000000000000001</v>
      </c>
      <c r="C19" s="39" t="s">
        <v>67</v>
      </c>
      <c r="D19" s="7" t="s">
        <v>609</v>
      </c>
      <c r="E19" s="70" t="s">
        <v>51</v>
      </c>
      <c r="F19" s="70" t="s">
        <v>51</v>
      </c>
      <c r="G19" s="89">
        <v>6.85</v>
      </c>
      <c r="H19" s="62" t="s">
        <v>604</v>
      </c>
      <c r="I19" s="62">
        <v>1</v>
      </c>
      <c r="J19" s="90">
        <v>5.56</v>
      </c>
      <c r="K19" s="13">
        <f t="shared" si="0"/>
        <v>1.2320143884892087</v>
      </c>
      <c r="L19" s="7" t="s">
        <v>687</v>
      </c>
      <c r="M19" s="7" t="s">
        <v>964</v>
      </c>
      <c r="N19" s="39"/>
      <c r="O19"/>
      <c r="P19"/>
      <c r="Q19"/>
      <c r="R19"/>
      <c r="S19"/>
      <c r="T19"/>
      <c r="U19"/>
      <c r="V19"/>
    </row>
    <row r="20" spans="1:22" s="70" customFormat="1" x14ac:dyDescent="0.25">
      <c r="A20" s="39" t="s">
        <v>600</v>
      </c>
      <c r="B20" s="58">
        <v>1.1000000000000001</v>
      </c>
      <c r="C20" s="39" t="s">
        <v>67</v>
      </c>
      <c r="D20" s="7" t="s">
        <v>688</v>
      </c>
      <c r="E20" s="70" t="s">
        <v>51</v>
      </c>
      <c r="F20" s="70" t="s">
        <v>51</v>
      </c>
      <c r="G20" s="89">
        <v>1.3</v>
      </c>
      <c r="H20" s="62" t="s">
        <v>610</v>
      </c>
      <c r="I20" s="62">
        <v>1</v>
      </c>
      <c r="J20" s="90">
        <v>1.56</v>
      </c>
      <c r="K20" s="13">
        <f t="shared" si="0"/>
        <v>0.83333333333333337</v>
      </c>
      <c r="L20" s="7" t="s">
        <v>689</v>
      </c>
      <c r="M20" s="7" t="s">
        <v>965</v>
      </c>
      <c r="N20" s="39"/>
      <c r="O20"/>
      <c r="P20"/>
      <c r="Q20"/>
      <c r="R20"/>
      <c r="S20"/>
      <c r="T20"/>
      <c r="U20"/>
      <c r="V20"/>
    </row>
    <row r="21" spans="1:22" s="70" customFormat="1" ht="24.95" customHeight="1" x14ac:dyDescent="0.25">
      <c r="A21" s="39" t="s">
        <v>600</v>
      </c>
      <c r="B21" s="58">
        <v>1.1000000000000001</v>
      </c>
      <c r="C21" s="39" t="s">
        <v>67</v>
      </c>
      <c r="D21" s="7" t="s">
        <v>611</v>
      </c>
      <c r="E21" s="70" t="s">
        <v>967</v>
      </c>
      <c r="F21" s="70" t="s">
        <v>51</v>
      </c>
      <c r="G21" s="89">
        <v>2.8</v>
      </c>
      <c r="H21" s="62" t="s">
        <v>612</v>
      </c>
      <c r="I21" s="62">
        <v>1</v>
      </c>
      <c r="J21" s="90">
        <f>454/30</f>
        <v>15.133333333333333</v>
      </c>
      <c r="K21" s="13">
        <f>(G21*I21)/J21</f>
        <v>0.18502202643171806</v>
      </c>
      <c r="L21" s="7" t="s">
        <v>613</v>
      </c>
      <c r="M21" s="7" t="s">
        <v>966</v>
      </c>
      <c r="N21" s="39"/>
      <c r="O21"/>
      <c r="P21"/>
      <c r="Q21"/>
      <c r="R21"/>
      <c r="S21"/>
      <c r="T21"/>
      <c r="U21"/>
      <c r="V21"/>
    </row>
    <row r="22" spans="1:22" s="70" customFormat="1" ht="22.5" x14ac:dyDescent="0.25">
      <c r="A22" s="39" t="s">
        <v>600</v>
      </c>
      <c r="B22" s="58">
        <v>1.1000000000000001</v>
      </c>
      <c r="C22" s="39" t="s">
        <v>67</v>
      </c>
      <c r="D22" s="7" t="s">
        <v>690</v>
      </c>
      <c r="E22" s="70" t="s">
        <v>691</v>
      </c>
      <c r="F22" s="70" t="s">
        <v>51</v>
      </c>
      <c r="G22" s="89">
        <v>2.5</v>
      </c>
      <c r="H22" s="62">
        <v>14</v>
      </c>
      <c r="I22" s="62">
        <v>1</v>
      </c>
      <c r="J22" s="90">
        <f>14/4</f>
        <v>3.5</v>
      </c>
      <c r="K22" s="13">
        <f t="shared" si="0"/>
        <v>0.7142857142857143</v>
      </c>
      <c r="L22" s="7" t="s">
        <v>692</v>
      </c>
      <c r="M22" s="7" t="s">
        <v>968</v>
      </c>
      <c r="N22" s="39"/>
      <c r="O22"/>
      <c r="P22"/>
      <c r="Q22"/>
      <c r="R22"/>
      <c r="S22"/>
      <c r="T22"/>
      <c r="U22"/>
      <c r="V22"/>
    </row>
    <row r="23" spans="1:22" s="70" customFormat="1" ht="20.100000000000001" customHeight="1" x14ac:dyDescent="0.25">
      <c r="A23" s="39" t="s">
        <v>600</v>
      </c>
      <c r="B23" s="58">
        <v>1.1000000000000001</v>
      </c>
      <c r="C23" s="39" t="s">
        <v>67</v>
      </c>
      <c r="D23" s="7" t="s">
        <v>693</v>
      </c>
      <c r="E23" s="70" t="s">
        <v>51</v>
      </c>
      <c r="F23" s="70" t="s">
        <v>51</v>
      </c>
      <c r="G23" s="89">
        <v>5.0999999999999996</v>
      </c>
      <c r="H23" s="62" t="s">
        <v>955</v>
      </c>
      <c r="I23" s="62">
        <v>1</v>
      </c>
      <c r="J23" s="90">
        <f>300/160</f>
        <v>1.875</v>
      </c>
      <c r="K23" s="13">
        <f t="shared" si="0"/>
        <v>2.7199999999999998</v>
      </c>
      <c r="L23" s="7" t="s">
        <v>801</v>
      </c>
      <c r="M23" s="7" t="s">
        <v>969</v>
      </c>
      <c r="N23" s="39"/>
      <c r="O23"/>
      <c r="P23"/>
      <c r="Q23"/>
      <c r="R23"/>
      <c r="S23"/>
      <c r="T23"/>
      <c r="U23"/>
      <c r="V23"/>
    </row>
    <row r="24" spans="1:22" s="70" customFormat="1" ht="22.5" x14ac:dyDescent="0.25">
      <c r="A24" s="39" t="s">
        <v>600</v>
      </c>
      <c r="B24" s="58">
        <v>1.1000000000000001</v>
      </c>
      <c r="C24" s="39" t="s">
        <v>67</v>
      </c>
      <c r="D24" s="7" t="s">
        <v>614</v>
      </c>
      <c r="E24" s="70" t="s">
        <v>971</v>
      </c>
      <c r="F24" s="70" t="s">
        <v>51</v>
      </c>
      <c r="G24" s="89">
        <v>1.8</v>
      </c>
      <c r="H24" s="62">
        <v>24</v>
      </c>
      <c r="I24" s="62">
        <v>2</v>
      </c>
      <c r="J24" s="90">
        <f>48/30</f>
        <v>1.6</v>
      </c>
      <c r="K24" s="13">
        <f t="shared" si="0"/>
        <v>2.25</v>
      </c>
      <c r="L24" s="7" t="s">
        <v>694</v>
      </c>
      <c r="M24" s="7" t="s">
        <v>970</v>
      </c>
      <c r="N24" s="39"/>
      <c r="O24"/>
      <c r="P24"/>
      <c r="Q24"/>
      <c r="R24"/>
      <c r="S24"/>
      <c r="T24"/>
      <c r="U24"/>
      <c r="V24"/>
    </row>
    <row r="25" spans="1:22" s="70" customFormat="1" ht="20.100000000000001" customHeight="1" x14ac:dyDescent="0.25">
      <c r="A25" s="39" t="s">
        <v>600</v>
      </c>
      <c r="B25" s="58">
        <v>1.1000000000000001</v>
      </c>
      <c r="C25" s="39" t="s">
        <v>67</v>
      </c>
      <c r="D25" s="7" t="s">
        <v>601</v>
      </c>
      <c r="E25" s="70" t="s">
        <v>973</v>
      </c>
      <c r="F25" s="70" t="s">
        <v>51</v>
      </c>
      <c r="G25" s="89">
        <v>3.3</v>
      </c>
      <c r="H25" s="62">
        <v>80</v>
      </c>
      <c r="I25" s="62">
        <v>1</v>
      </c>
      <c r="J25" s="90">
        <f>80/66</f>
        <v>1.2121212121212122</v>
      </c>
      <c r="K25" s="13">
        <f t="shared" si="0"/>
        <v>2.7224999999999997</v>
      </c>
      <c r="L25" s="7" t="s">
        <v>695</v>
      </c>
      <c r="M25" s="7" t="s">
        <v>972</v>
      </c>
      <c r="N25" s="39"/>
      <c r="O25"/>
      <c r="P25"/>
      <c r="Q25"/>
      <c r="R25"/>
      <c r="S25"/>
      <c r="T25"/>
      <c r="U25"/>
      <c r="V25"/>
    </row>
    <row r="26" spans="1:22" s="70" customFormat="1" x14ac:dyDescent="0.25">
      <c r="A26" s="39" t="s">
        <v>600</v>
      </c>
      <c r="B26" s="58">
        <v>1.1000000000000001</v>
      </c>
      <c r="C26" s="39" t="s">
        <v>67</v>
      </c>
      <c r="D26" s="7" t="s">
        <v>615</v>
      </c>
      <c r="E26" s="70" t="s">
        <v>51</v>
      </c>
      <c r="F26" s="70" t="s">
        <v>51</v>
      </c>
      <c r="G26" s="89">
        <v>1.8</v>
      </c>
      <c r="H26" s="62">
        <v>6</v>
      </c>
      <c r="I26" s="62">
        <v>1</v>
      </c>
      <c r="J26" s="90">
        <v>1</v>
      </c>
      <c r="K26" s="13">
        <f t="shared" si="0"/>
        <v>1.8</v>
      </c>
      <c r="L26" s="7" t="s">
        <v>696</v>
      </c>
      <c r="M26" s="7" t="s">
        <v>974</v>
      </c>
      <c r="N26" s="39"/>
      <c r="O26"/>
      <c r="P26"/>
      <c r="Q26"/>
      <c r="R26"/>
      <c r="S26"/>
      <c r="T26"/>
      <c r="U26"/>
      <c r="V26"/>
    </row>
    <row r="27" spans="1:22" s="70" customFormat="1" ht="15.6" customHeight="1" x14ac:dyDescent="0.25">
      <c r="A27" s="39" t="s">
        <v>600</v>
      </c>
      <c r="B27" s="58">
        <v>1.1000000000000001</v>
      </c>
      <c r="C27" s="39" t="s">
        <v>67</v>
      </c>
      <c r="D27" s="7" t="s">
        <v>697</v>
      </c>
      <c r="E27" s="70" t="s">
        <v>51</v>
      </c>
      <c r="F27" s="70" t="s">
        <v>51</v>
      </c>
      <c r="G27" s="89">
        <v>1</v>
      </c>
      <c r="H27" s="62">
        <v>2</v>
      </c>
      <c r="I27" s="62">
        <v>1</v>
      </c>
      <c r="J27" s="90">
        <v>1</v>
      </c>
      <c r="K27" s="13">
        <f t="shared" si="0"/>
        <v>1</v>
      </c>
      <c r="L27" s="7" t="s">
        <v>698</v>
      </c>
      <c r="M27" s="7" t="s">
        <v>975</v>
      </c>
      <c r="N27" s="39"/>
      <c r="O27"/>
      <c r="P27"/>
      <c r="Q27"/>
      <c r="R27"/>
      <c r="S27"/>
      <c r="T27"/>
      <c r="U27"/>
      <c r="V27"/>
    </row>
    <row r="28" spans="1:22" s="70" customFormat="1" ht="18" customHeight="1" x14ac:dyDescent="0.25">
      <c r="A28" s="39" t="s">
        <v>600</v>
      </c>
      <c r="B28" s="58">
        <v>1.1000000000000001</v>
      </c>
      <c r="C28" s="39" t="s">
        <v>67</v>
      </c>
      <c r="D28" s="7" t="s">
        <v>699</v>
      </c>
      <c r="E28" s="70" t="s">
        <v>977</v>
      </c>
      <c r="F28" s="70" t="s">
        <v>51</v>
      </c>
      <c r="G28" s="89">
        <v>1.1000000000000001</v>
      </c>
      <c r="H28" s="62">
        <v>28</v>
      </c>
      <c r="I28" s="62">
        <v>1</v>
      </c>
      <c r="J28" s="90">
        <f>28/11</f>
        <v>2.5454545454545454</v>
      </c>
      <c r="K28" s="13">
        <f t="shared" si="0"/>
        <v>0.43214285714285716</v>
      </c>
      <c r="L28" s="7" t="s">
        <v>700</v>
      </c>
      <c r="M28" s="7" t="s">
        <v>976</v>
      </c>
      <c r="N28" s="39"/>
      <c r="O28"/>
      <c r="P28"/>
      <c r="Q28"/>
      <c r="R28"/>
      <c r="S28"/>
      <c r="T28"/>
      <c r="U28"/>
      <c r="V28"/>
    </row>
    <row r="29" spans="1:22" s="70" customFormat="1" ht="14.45" customHeight="1" x14ac:dyDescent="0.25">
      <c r="A29" s="39" t="s">
        <v>600</v>
      </c>
      <c r="B29" s="58">
        <v>1.1000000000000001</v>
      </c>
      <c r="C29" s="39" t="s">
        <v>67</v>
      </c>
      <c r="D29" s="7" t="s">
        <v>701</v>
      </c>
      <c r="E29" s="70" t="s">
        <v>51</v>
      </c>
      <c r="F29" s="70" t="s">
        <v>51</v>
      </c>
      <c r="G29" s="89">
        <v>1.45</v>
      </c>
      <c r="H29" s="62" t="s">
        <v>955</v>
      </c>
      <c r="I29" s="62">
        <v>1</v>
      </c>
      <c r="J29" s="90">
        <f>300/190</f>
        <v>1.5789473684210527</v>
      </c>
      <c r="K29" s="13">
        <f t="shared" si="0"/>
        <v>0.91833333333333333</v>
      </c>
      <c r="L29" s="7" t="s">
        <v>702</v>
      </c>
      <c r="M29" s="7" t="s">
        <v>978</v>
      </c>
      <c r="N29" s="39"/>
      <c r="O29"/>
      <c r="P29"/>
      <c r="Q29"/>
      <c r="R29"/>
      <c r="S29"/>
      <c r="T29"/>
      <c r="U29"/>
      <c r="V29"/>
    </row>
    <row r="30" spans="1:22" s="70" customFormat="1" ht="22.5" x14ac:dyDescent="0.25">
      <c r="A30" s="39" t="s">
        <v>600</v>
      </c>
      <c r="B30" s="58">
        <v>1.1000000000000001</v>
      </c>
      <c r="C30" s="39" t="s">
        <v>67</v>
      </c>
      <c r="D30" s="7" t="s">
        <v>703</v>
      </c>
      <c r="E30" s="70" t="s">
        <v>704</v>
      </c>
      <c r="F30" s="70" t="s">
        <v>51</v>
      </c>
      <c r="G30" s="89">
        <v>3</v>
      </c>
      <c r="H30" s="62">
        <v>6</v>
      </c>
      <c r="I30" s="62">
        <v>1</v>
      </c>
      <c r="J30" s="90">
        <v>1</v>
      </c>
      <c r="K30" s="13">
        <f t="shared" si="0"/>
        <v>3</v>
      </c>
      <c r="L30" s="7" t="s">
        <v>705</v>
      </c>
      <c r="M30" s="7" t="s">
        <v>979</v>
      </c>
      <c r="N30" s="39"/>
      <c r="O30"/>
      <c r="P30"/>
      <c r="Q30"/>
      <c r="R30"/>
      <c r="S30"/>
      <c r="T30"/>
      <c r="U30"/>
      <c r="V30"/>
    </row>
    <row r="31" spans="1:22" s="70" customFormat="1" x14ac:dyDescent="0.25">
      <c r="A31" s="39" t="s">
        <v>600</v>
      </c>
      <c r="B31" s="58">
        <v>1.1000000000000001</v>
      </c>
      <c r="C31" s="39" t="s">
        <v>67</v>
      </c>
      <c r="D31" s="7" t="s">
        <v>651</v>
      </c>
      <c r="E31" s="70" t="s">
        <v>51</v>
      </c>
      <c r="F31" s="70" t="s">
        <v>51</v>
      </c>
      <c r="G31" s="89">
        <v>1.35</v>
      </c>
      <c r="H31" s="62">
        <v>7</v>
      </c>
      <c r="I31" s="62">
        <v>2</v>
      </c>
      <c r="J31" s="90">
        <f>14/10</f>
        <v>1.4</v>
      </c>
      <c r="K31" s="13">
        <f t="shared" si="0"/>
        <v>1.9285714285714288</v>
      </c>
      <c r="L31" s="7" t="s">
        <v>706</v>
      </c>
      <c r="M31" s="39" t="s">
        <v>980</v>
      </c>
      <c r="N31" s="39"/>
      <c r="O31"/>
      <c r="P31"/>
      <c r="Q31"/>
      <c r="R31"/>
      <c r="S31"/>
      <c r="T31"/>
      <c r="U31"/>
      <c r="V31"/>
    </row>
    <row r="32" spans="1:22" s="70" customFormat="1" ht="26.45" customHeight="1" x14ac:dyDescent="0.25">
      <c r="A32" s="39" t="s">
        <v>600</v>
      </c>
      <c r="B32" s="58">
        <v>1.1000000000000001</v>
      </c>
      <c r="C32" s="39" t="s">
        <v>67</v>
      </c>
      <c r="D32" s="7" t="s">
        <v>707</v>
      </c>
      <c r="E32" s="70" t="s">
        <v>51</v>
      </c>
      <c r="F32" s="70" t="s">
        <v>51</v>
      </c>
      <c r="G32" s="89">
        <v>1.7</v>
      </c>
      <c r="H32" s="62">
        <v>4</v>
      </c>
      <c r="I32" s="62">
        <v>1</v>
      </c>
      <c r="J32" s="90">
        <f>4/2</f>
        <v>2</v>
      </c>
      <c r="K32" s="13">
        <f t="shared" si="0"/>
        <v>0.85</v>
      </c>
      <c r="L32" s="7" t="s">
        <v>708</v>
      </c>
      <c r="M32" s="39" t="s">
        <v>981</v>
      </c>
      <c r="N32" s="39"/>
      <c r="O32"/>
      <c r="P32"/>
      <c r="Q32"/>
      <c r="R32"/>
      <c r="S32"/>
      <c r="T32"/>
      <c r="U32"/>
      <c r="V32"/>
    </row>
    <row r="33" spans="1:22" s="70" customFormat="1" ht="18" customHeight="1" x14ac:dyDescent="0.25">
      <c r="A33" s="39" t="s">
        <v>600</v>
      </c>
      <c r="B33" s="58">
        <v>1.1000000000000001</v>
      </c>
      <c r="C33" s="39" t="s">
        <v>67</v>
      </c>
      <c r="D33" s="7" t="s">
        <v>709</v>
      </c>
      <c r="E33" s="70" t="s">
        <v>51</v>
      </c>
      <c r="F33" s="70" t="s">
        <v>51</v>
      </c>
      <c r="G33" s="89">
        <v>2</v>
      </c>
      <c r="H33" s="62" t="s">
        <v>983</v>
      </c>
      <c r="I33" s="62">
        <v>2</v>
      </c>
      <c r="J33" s="90">
        <f>300/250</f>
        <v>1.2</v>
      </c>
      <c r="K33" s="13">
        <f t="shared" si="0"/>
        <v>3.3333333333333335</v>
      </c>
      <c r="L33" s="7" t="s">
        <v>710</v>
      </c>
      <c r="M33" s="39" t="s">
        <v>982</v>
      </c>
      <c r="N33" s="39"/>
      <c r="O33"/>
      <c r="P33"/>
      <c r="Q33"/>
      <c r="R33"/>
      <c r="S33"/>
      <c r="T33"/>
      <c r="U33"/>
      <c r="V33"/>
    </row>
    <row r="34" spans="1:22" s="70" customFormat="1" x14ac:dyDescent="0.25">
      <c r="A34" s="39" t="s">
        <v>600</v>
      </c>
      <c r="B34" s="58">
        <v>1.1000000000000001</v>
      </c>
      <c r="C34" s="39" t="s">
        <v>67</v>
      </c>
      <c r="D34" s="7" t="s">
        <v>711</v>
      </c>
      <c r="E34" s="70" t="s">
        <v>51</v>
      </c>
      <c r="F34" s="70" t="s">
        <v>51</v>
      </c>
      <c r="G34" s="89">
        <v>1</v>
      </c>
      <c r="H34" s="62" t="s">
        <v>985</v>
      </c>
      <c r="I34" s="62">
        <v>1</v>
      </c>
      <c r="J34" s="90">
        <f>1000/792</f>
        <v>1.2626262626262625</v>
      </c>
      <c r="K34" s="13">
        <f t="shared" si="0"/>
        <v>0.79200000000000004</v>
      </c>
      <c r="L34" s="7" t="s">
        <v>712</v>
      </c>
      <c r="M34" s="39" t="s">
        <v>984</v>
      </c>
      <c r="N34" s="39"/>
      <c r="O34"/>
      <c r="P34"/>
      <c r="Q34"/>
      <c r="R34"/>
      <c r="S34"/>
      <c r="T34"/>
      <c r="U34"/>
      <c r="V34"/>
    </row>
    <row r="35" spans="1:22" s="70" customFormat="1" x14ac:dyDescent="0.25">
      <c r="A35" s="39" t="s">
        <v>600</v>
      </c>
      <c r="B35" s="58">
        <v>1.1000000000000001</v>
      </c>
      <c r="C35" s="39" t="s">
        <v>67</v>
      </c>
      <c r="D35" s="7" t="s">
        <v>713</v>
      </c>
      <c r="E35" s="70" t="s">
        <v>51</v>
      </c>
      <c r="F35" s="70" t="s">
        <v>51</v>
      </c>
      <c r="G35" s="89">
        <v>0.85</v>
      </c>
      <c r="H35" s="62" t="s">
        <v>622</v>
      </c>
      <c r="I35" s="62">
        <v>1</v>
      </c>
      <c r="J35" s="90">
        <v>1.84</v>
      </c>
      <c r="K35" s="13">
        <f t="shared" si="0"/>
        <v>0.46195652173913038</v>
      </c>
      <c r="L35" s="7" t="s">
        <v>714</v>
      </c>
      <c r="M35" s="39" t="s">
        <v>986</v>
      </c>
      <c r="N35" s="39"/>
      <c r="O35"/>
      <c r="P35"/>
      <c r="Q35"/>
      <c r="R35"/>
      <c r="S35"/>
      <c r="T35"/>
      <c r="U35"/>
      <c r="V35"/>
    </row>
    <row r="36" spans="1:22" s="70" customFormat="1" x14ac:dyDescent="0.25">
      <c r="A36" s="39" t="s">
        <v>600</v>
      </c>
      <c r="B36" s="58">
        <v>1.1000000000000001</v>
      </c>
      <c r="C36" s="39" t="s">
        <v>67</v>
      </c>
      <c r="D36" s="7" t="s">
        <v>715</v>
      </c>
      <c r="E36" s="70" t="s">
        <v>51</v>
      </c>
      <c r="F36" s="70" t="s">
        <v>51</v>
      </c>
      <c r="G36" s="89">
        <v>0.75</v>
      </c>
      <c r="H36" s="62" t="s">
        <v>610</v>
      </c>
      <c r="I36" s="62">
        <v>1</v>
      </c>
      <c r="J36" s="90">
        <v>3.21</v>
      </c>
      <c r="K36" s="13">
        <f t="shared" si="0"/>
        <v>0.23364485981308411</v>
      </c>
      <c r="L36" s="7" t="s">
        <v>716</v>
      </c>
      <c r="M36" s="39" t="s">
        <v>987</v>
      </c>
      <c r="N36" s="39"/>
      <c r="O36"/>
      <c r="P36"/>
      <c r="Q36"/>
      <c r="R36"/>
      <c r="S36"/>
      <c r="T36"/>
      <c r="U36"/>
      <c r="V36"/>
    </row>
    <row r="37" spans="1:22" s="70" customFormat="1" x14ac:dyDescent="0.25">
      <c r="A37" s="39" t="s">
        <v>600</v>
      </c>
      <c r="B37" s="58">
        <v>1.1000000000000001</v>
      </c>
      <c r="C37" s="39" t="s">
        <v>67</v>
      </c>
      <c r="D37" s="7" t="s">
        <v>621</v>
      </c>
      <c r="E37" s="70" t="s">
        <v>51</v>
      </c>
      <c r="F37" s="70" t="s">
        <v>51</v>
      </c>
      <c r="G37" s="89">
        <v>1.5</v>
      </c>
      <c r="H37" s="62" t="s">
        <v>618</v>
      </c>
      <c r="I37" s="62">
        <v>1</v>
      </c>
      <c r="J37" s="90">
        <f>1000/764</f>
        <v>1.3089005235602094</v>
      </c>
      <c r="K37" s="13">
        <f t="shared" si="0"/>
        <v>1.1460000000000001</v>
      </c>
      <c r="L37" s="7" t="s">
        <v>717</v>
      </c>
      <c r="M37" s="39" t="s">
        <v>988</v>
      </c>
      <c r="N37" s="39"/>
      <c r="O37"/>
      <c r="P37"/>
      <c r="Q37"/>
      <c r="R37"/>
      <c r="S37"/>
      <c r="T37"/>
      <c r="U37"/>
      <c r="V37"/>
    </row>
    <row r="38" spans="1:22" s="70" customFormat="1" x14ac:dyDescent="0.25">
      <c r="A38" s="39" t="s">
        <v>600</v>
      </c>
      <c r="B38" s="58">
        <v>1.1000000000000001</v>
      </c>
      <c r="C38" s="39" t="s">
        <v>67</v>
      </c>
      <c r="D38" s="7" t="s">
        <v>718</v>
      </c>
      <c r="E38" s="70" t="s">
        <v>51</v>
      </c>
      <c r="F38" s="70" t="s">
        <v>51</v>
      </c>
      <c r="G38" s="89">
        <v>1.3</v>
      </c>
      <c r="H38" s="62" t="s">
        <v>623</v>
      </c>
      <c r="I38" s="62">
        <v>1</v>
      </c>
      <c r="J38" s="90">
        <f>700/280</f>
        <v>2.5</v>
      </c>
      <c r="K38" s="13">
        <f t="shared" si="0"/>
        <v>0.52</v>
      </c>
      <c r="L38" s="7" t="s">
        <v>719</v>
      </c>
      <c r="M38" s="39" t="s">
        <v>989</v>
      </c>
      <c r="N38" s="39"/>
      <c r="O38"/>
      <c r="P38"/>
      <c r="Q38"/>
      <c r="R38"/>
      <c r="S38"/>
      <c r="T38"/>
      <c r="U38"/>
      <c r="V38"/>
    </row>
    <row r="39" spans="1:22" s="70" customFormat="1" x14ac:dyDescent="0.25">
      <c r="A39" s="39" t="s">
        <v>600</v>
      </c>
      <c r="B39" s="58">
        <v>1.1000000000000001</v>
      </c>
      <c r="C39" s="39" t="s">
        <v>67</v>
      </c>
      <c r="D39" s="7" t="s">
        <v>720</v>
      </c>
      <c r="E39" s="70" t="s">
        <v>51</v>
      </c>
      <c r="F39" s="70" t="s">
        <v>51</v>
      </c>
      <c r="G39" s="89">
        <v>0.24</v>
      </c>
      <c r="H39" s="62"/>
      <c r="I39" s="62">
        <v>1</v>
      </c>
      <c r="J39" s="90">
        <v>3</v>
      </c>
      <c r="K39" s="13">
        <f t="shared" si="0"/>
        <v>0.08</v>
      </c>
      <c r="L39" s="7" t="s">
        <v>721</v>
      </c>
      <c r="M39" s="39" t="s">
        <v>990</v>
      </c>
      <c r="N39" s="39"/>
      <c r="O39"/>
      <c r="P39"/>
      <c r="Q39"/>
      <c r="R39"/>
      <c r="S39"/>
      <c r="T39"/>
      <c r="U39"/>
      <c r="V39"/>
    </row>
    <row r="40" spans="1:22" s="70" customFormat="1" ht="19.5" customHeight="1" x14ac:dyDescent="0.25">
      <c r="A40" s="39" t="s">
        <v>600</v>
      </c>
      <c r="B40" s="58">
        <v>1.1000000000000001</v>
      </c>
      <c r="C40" s="39" t="s">
        <v>67</v>
      </c>
      <c r="D40" s="7" t="s">
        <v>722</v>
      </c>
      <c r="E40" s="70" t="s">
        <v>992</v>
      </c>
      <c r="F40" s="70" t="s">
        <v>51</v>
      </c>
      <c r="G40" s="89">
        <v>3.1</v>
      </c>
      <c r="H40" s="62">
        <v>24</v>
      </c>
      <c r="I40" s="62">
        <v>1</v>
      </c>
      <c r="J40" s="90">
        <f>24/2</f>
        <v>12</v>
      </c>
      <c r="K40" s="13">
        <f t="shared" si="0"/>
        <v>0.25833333333333336</v>
      </c>
      <c r="L40" s="7" t="s">
        <v>723</v>
      </c>
      <c r="M40" s="39" t="s">
        <v>991</v>
      </c>
      <c r="N40" s="39"/>
      <c r="O40"/>
      <c r="P40"/>
      <c r="Q40"/>
      <c r="R40"/>
      <c r="S40"/>
      <c r="T40"/>
      <c r="U40"/>
      <c r="V40"/>
    </row>
    <row r="41" spans="1:22" s="70" customFormat="1" ht="27.95" customHeight="1" x14ac:dyDescent="0.25">
      <c r="A41" s="39" t="s">
        <v>600</v>
      </c>
      <c r="B41" s="58">
        <v>1.1000000000000001</v>
      </c>
      <c r="C41" s="39" t="s">
        <v>67</v>
      </c>
      <c r="D41" s="7" t="s">
        <v>724</v>
      </c>
      <c r="E41" s="70" t="s">
        <v>51</v>
      </c>
      <c r="F41" s="70" t="s">
        <v>51</v>
      </c>
      <c r="G41" s="89">
        <v>1.3</v>
      </c>
      <c r="H41" s="62">
        <v>4</v>
      </c>
      <c r="I41" s="62">
        <v>1</v>
      </c>
      <c r="J41" s="90">
        <f>4/2</f>
        <v>2</v>
      </c>
      <c r="K41" s="13">
        <f t="shared" si="0"/>
        <v>0.65</v>
      </c>
      <c r="L41" s="7" t="s">
        <v>725</v>
      </c>
      <c r="M41" s="39" t="s">
        <v>993</v>
      </c>
      <c r="N41" s="39"/>
      <c r="O41"/>
      <c r="P41"/>
      <c r="Q41"/>
      <c r="R41"/>
      <c r="S41"/>
      <c r="T41"/>
      <c r="U41"/>
      <c r="V41"/>
    </row>
    <row r="42" spans="1:22" s="70" customFormat="1" ht="33.75" x14ac:dyDescent="0.25">
      <c r="A42" s="39" t="s">
        <v>600</v>
      </c>
      <c r="B42" s="58">
        <v>1.1000000000000001</v>
      </c>
      <c r="C42" s="39" t="s">
        <v>67</v>
      </c>
      <c r="D42" s="7" t="s">
        <v>726</v>
      </c>
      <c r="E42" s="70" t="s">
        <v>995</v>
      </c>
      <c r="F42" s="70" t="s">
        <v>51</v>
      </c>
      <c r="G42" s="89">
        <v>2.5</v>
      </c>
      <c r="H42" s="62" t="s">
        <v>604</v>
      </c>
      <c r="I42" s="62">
        <v>1</v>
      </c>
      <c r="J42" s="90">
        <f>2000/1540</f>
        <v>1.2987012987012987</v>
      </c>
      <c r="K42" s="13">
        <f t="shared" si="0"/>
        <v>1.925</v>
      </c>
      <c r="L42" s="7" t="s">
        <v>727</v>
      </c>
      <c r="M42" s="39" t="s">
        <v>994</v>
      </c>
      <c r="N42" s="39"/>
      <c r="O42"/>
      <c r="P42"/>
      <c r="Q42"/>
      <c r="R42"/>
      <c r="S42"/>
      <c r="T42"/>
      <c r="U42"/>
      <c r="V42"/>
    </row>
    <row r="43" spans="1:22" s="70" customFormat="1" ht="24.95" customHeight="1" x14ac:dyDescent="0.25">
      <c r="A43" s="39" t="s">
        <v>600</v>
      </c>
      <c r="B43" s="58">
        <v>1.1000000000000001</v>
      </c>
      <c r="C43" s="39" t="s">
        <v>67</v>
      </c>
      <c r="D43" s="7" t="s">
        <v>728</v>
      </c>
      <c r="E43" s="70" t="s">
        <v>51</v>
      </c>
      <c r="F43" s="70" t="s">
        <v>51</v>
      </c>
      <c r="G43" s="89">
        <v>2.69</v>
      </c>
      <c r="H43" s="62" t="s">
        <v>731</v>
      </c>
      <c r="I43" s="62">
        <v>1</v>
      </c>
      <c r="J43" s="90">
        <v>1</v>
      </c>
      <c r="K43" s="13">
        <f t="shared" si="0"/>
        <v>2.69</v>
      </c>
      <c r="L43" s="7" t="s">
        <v>729</v>
      </c>
      <c r="M43" s="39" t="s">
        <v>996</v>
      </c>
      <c r="N43" s="39"/>
      <c r="O43"/>
      <c r="P43"/>
      <c r="Q43"/>
      <c r="R43"/>
      <c r="S43"/>
      <c r="T43"/>
      <c r="U43"/>
      <c r="V43"/>
    </row>
    <row r="44" spans="1:22" s="70" customFormat="1" ht="22.5" x14ac:dyDescent="0.25">
      <c r="A44" s="39" t="s">
        <v>600</v>
      </c>
      <c r="B44" s="58">
        <v>1.1000000000000001</v>
      </c>
      <c r="C44" s="39" t="s">
        <v>67</v>
      </c>
      <c r="D44" s="7" t="s">
        <v>730</v>
      </c>
      <c r="E44" s="70" t="s">
        <v>51</v>
      </c>
      <c r="F44" s="70" t="s">
        <v>51</v>
      </c>
      <c r="G44" s="89">
        <v>2.69</v>
      </c>
      <c r="H44" s="62" t="s">
        <v>731</v>
      </c>
      <c r="I44" s="62">
        <v>1</v>
      </c>
      <c r="J44" s="90">
        <v>2</v>
      </c>
      <c r="K44" s="13">
        <f t="shared" si="0"/>
        <v>1.345</v>
      </c>
      <c r="L44" s="7" t="s">
        <v>732</v>
      </c>
      <c r="M44" s="39" t="s">
        <v>996</v>
      </c>
      <c r="N44" s="93"/>
      <c r="O44"/>
      <c r="P44"/>
      <c r="Q44"/>
      <c r="R44"/>
      <c r="S44"/>
      <c r="T44"/>
      <c r="U44"/>
      <c r="V44"/>
    </row>
    <row r="45" spans="1:22" s="70" customFormat="1" ht="22.5" x14ac:dyDescent="0.25">
      <c r="A45" s="39" t="s">
        <v>600</v>
      </c>
      <c r="B45" s="58">
        <v>1.1000000000000001</v>
      </c>
      <c r="C45" s="39" t="s">
        <v>67</v>
      </c>
      <c r="D45" s="7" t="s">
        <v>654</v>
      </c>
      <c r="E45" s="70" t="s">
        <v>999</v>
      </c>
      <c r="F45" s="70" t="s">
        <v>51</v>
      </c>
      <c r="G45" s="89">
        <v>3.9</v>
      </c>
      <c r="H45" s="62" t="s">
        <v>997</v>
      </c>
      <c r="I45" s="62">
        <v>1</v>
      </c>
      <c r="J45" s="90">
        <f>750/292</f>
        <v>2.5684931506849313</v>
      </c>
      <c r="K45" s="13">
        <f t="shared" si="0"/>
        <v>1.5184</v>
      </c>
      <c r="L45" s="7" t="s">
        <v>733</v>
      </c>
      <c r="M45" s="39" t="s">
        <v>998</v>
      </c>
      <c r="N45" s="39"/>
      <c r="O45"/>
      <c r="P45"/>
      <c r="Q45"/>
      <c r="R45"/>
      <c r="S45"/>
      <c r="T45"/>
      <c r="U45"/>
      <c r="V45"/>
    </row>
    <row r="46" spans="1:22" s="70" customFormat="1" x14ac:dyDescent="0.25">
      <c r="A46" s="39" t="s">
        <v>600</v>
      </c>
      <c r="B46" s="58">
        <v>1.1000000000000001</v>
      </c>
      <c r="C46" s="39" t="s">
        <v>67</v>
      </c>
      <c r="D46" s="7" t="s">
        <v>734</v>
      </c>
      <c r="E46" s="70" t="s">
        <v>51</v>
      </c>
      <c r="F46" s="70" t="s">
        <v>51</v>
      </c>
      <c r="G46" s="89">
        <v>0.7</v>
      </c>
      <c r="H46" s="62">
        <v>1</v>
      </c>
      <c r="I46" s="62">
        <v>1</v>
      </c>
      <c r="J46" s="90">
        <v>1</v>
      </c>
      <c r="K46" s="13">
        <f t="shared" si="0"/>
        <v>0.7</v>
      </c>
      <c r="L46" s="7" t="s">
        <v>735</v>
      </c>
      <c r="M46" s="39" t="s">
        <v>1000</v>
      </c>
      <c r="N46" s="39"/>
      <c r="O46"/>
      <c r="P46"/>
      <c r="Q46"/>
      <c r="R46"/>
      <c r="S46"/>
      <c r="T46"/>
      <c r="U46"/>
      <c r="V46"/>
    </row>
    <row r="47" spans="1:22" s="70" customFormat="1" x14ac:dyDescent="0.25">
      <c r="A47" s="39" t="s">
        <v>600</v>
      </c>
      <c r="B47" s="58">
        <v>1.1000000000000001</v>
      </c>
      <c r="C47" s="39" t="s">
        <v>67</v>
      </c>
      <c r="D47" s="7" t="s">
        <v>736</v>
      </c>
      <c r="E47" s="70" t="s">
        <v>51</v>
      </c>
      <c r="F47" s="70" t="s">
        <v>51</v>
      </c>
      <c r="G47" s="89">
        <v>1.6</v>
      </c>
      <c r="H47" s="62">
        <v>6</v>
      </c>
      <c r="I47" s="62">
        <v>2</v>
      </c>
      <c r="J47" s="90">
        <v>1</v>
      </c>
      <c r="K47" s="13">
        <f t="shared" si="0"/>
        <v>3.2</v>
      </c>
      <c r="L47" s="7" t="s">
        <v>737</v>
      </c>
      <c r="M47" s="39" t="s">
        <v>1001</v>
      </c>
      <c r="N47" s="39"/>
      <c r="O47"/>
      <c r="P47"/>
      <c r="Q47"/>
      <c r="R47"/>
      <c r="S47"/>
      <c r="T47"/>
      <c r="U47"/>
      <c r="V47"/>
    </row>
    <row r="48" spans="1:22" s="70" customFormat="1" ht="18" customHeight="1" x14ac:dyDescent="0.25">
      <c r="A48" s="39" t="s">
        <v>600</v>
      </c>
      <c r="B48" s="58">
        <v>1.1000000000000001</v>
      </c>
      <c r="C48" s="39" t="s">
        <v>67</v>
      </c>
      <c r="D48" s="7" t="s">
        <v>655</v>
      </c>
      <c r="E48" s="70" t="s">
        <v>51</v>
      </c>
      <c r="F48" s="70" t="s">
        <v>51</v>
      </c>
      <c r="G48" s="89">
        <v>0.79</v>
      </c>
      <c r="H48" s="62">
        <v>1</v>
      </c>
      <c r="I48" s="62">
        <v>2</v>
      </c>
      <c r="J48" s="90">
        <f>2/1.5</f>
        <v>1.3333333333333333</v>
      </c>
      <c r="K48" s="13">
        <f t="shared" si="0"/>
        <v>1.1850000000000001</v>
      </c>
      <c r="L48" s="7" t="s">
        <v>738</v>
      </c>
      <c r="M48" s="39" t="s">
        <v>1002</v>
      </c>
      <c r="N48" s="39"/>
      <c r="O48"/>
      <c r="P48"/>
      <c r="Q48"/>
      <c r="R48"/>
      <c r="S48"/>
      <c r="T48"/>
      <c r="U48"/>
      <c r="V48"/>
    </row>
    <row r="49" spans="1:22" s="70" customFormat="1" ht="22.5" x14ac:dyDescent="0.25">
      <c r="A49" s="39" t="s">
        <v>600</v>
      </c>
      <c r="B49" s="58">
        <v>1.1000000000000001</v>
      </c>
      <c r="C49" s="39" t="s">
        <v>67</v>
      </c>
      <c r="D49" s="7" t="s">
        <v>739</v>
      </c>
      <c r="E49" s="70" t="s">
        <v>51</v>
      </c>
      <c r="F49" s="70" t="s">
        <v>51</v>
      </c>
      <c r="G49" s="89">
        <v>1.45</v>
      </c>
      <c r="H49" s="62" t="s">
        <v>740</v>
      </c>
      <c r="I49" s="62">
        <v>1</v>
      </c>
      <c r="J49" s="90">
        <f>462/144</f>
        <v>3.2083333333333335</v>
      </c>
      <c r="K49" s="13">
        <f t="shared" si="0"/>
        <v>0.45194805194805193</v>
      </c>
      <c r="L49" s="7" t="s">
        <v>741</v>
      </c>
      <c r="M49" s="39" t="s">
        <v>1003</v>
      </c>
      <c r="N49" s="39"/>
      <c r="O49"/>
      <c r="P49"/>
      <c r="Q49"/>
      <c r="R49"/>
      <c r="S49"/>
      <c r="T49"/>
      <c r="U49"/>
      <c r="V49"/>
    </row>
    <row r="50" spans="1:22" s="70" customFormat="1" ht="21.95" customHeight="1" x14ac:dyDescent="0.25">
      <c r="A50" s="39" t="s">
        <v>600</v>
      </c>
      <c r="B50" s="58">
        <v>1.1000000000000001</v>
      </c>
      <c r="C50" s="39" t="s">
        <v>67</v>
      </c>
      <c r="D50" s="7" t="s">
        <v>742</v>
      </c>
      <c r="E50" s="70" t="s">
        <v>51</v>
      </c>
      <c r="F50" s="70" t="s">
        <v>51</v>
      </c>
      <c r="G50" s="89">
        <v>5.25</v>
      </c>
      <c r="H50" s="62" t="s">
        <v>610</v>
      </c>
      <c r="I50" s="62">
        <v>1</v>
      </c>
      <c r="J50" s="90">
        <f>500/250</f>
        <v>2</v>
      </c>
      <c r="K50" s="13">
        <f t="shared" si="0"/>
        <v>2.625</v>
      </c>
      <c r="L50" s="7" t="s">
        <v>652</v>
      </c>
      <c r="M50" s="39" t="s">
        <v>1004</v>
      </c>
      <c r="N50" s="39"/>
      <c r="O50"/>
      <c r="P50"/>
      <c r="Q50"/>
      <c r="R50"/>
      <c r="S50"/>
      <c r="T50"/>
      <c r="U50"/>
      <c r="V50"/>
    </row>
    <row r="51" spans="1:22" s="70" customFormat="1" ht="18" customHeight="1" x14ac:dyDescent="0.25">
      <c r="A51" s="39" t="s">
        <v>600</v>
      </c>
      <c r="B51" s="58">
        <v>1.1000000000000001</v>
      </c>
      <c r="C51" s="39" t="s">
        <v>67</v>
      </c>
      <c r="D51" s="7" t="s">
        <v>743</v>
      </c>
      <c r="E51" s="70" t="s">
        <v>51</v>
      </c>
      <c r="F51" s="70" t="s">
        <v>51</v>
      </c>
      <c r="G51" s="89">
        <v>0.79</v>
      </c>
      <c r="H51" s="62" t="s">
        <v>644</v>
      </c>
      <c r="I51" s="62">
        <v>1</v>
      </c>
      <c r="J51" s="90">
        <f>1000/81</f>
        <v>12.345679012345679</v>
      </c>
      <c r="K51" s="13">
        <f t="shared" si="0"/>
        <v>6.3990000000000005E-2</v>
      </c>
      <c r="L51" s="7" t="s">
        <v>744</v>
      </c>
      <c r="M51" s="39" t="s">
        <v>1005</v>
      </c>
      <c r="N51" s="39"/>
      <c r="O51"/>
      <c r="P51"/>
      <c r="Q51"/>
      <c r="R51"/>
      <c r="S51"/>
      <c r="T51"/>
      <c r="U51"/>
      <c r="V51"/>
    </row>
    <row r="52" spans="1:22" s="70" customFormat="1" x14ac:dyDescent="0.25">
      <c r="A52" s="39" t="s">
        <v>600</v>
      </c>
      <c r="B52" s="58">
        <v>1.1000000000000001</v>
      </c>
      <c r="C52" s="39" t="s">
        <v>67</v>
      </c>
      <c r="D52" s="7" t="s">
        <v>745</v>
      </c>
      <c r="E52" s="70" t="s">
        <v>51</v>
      </c>
      <c r="F52" s="70" t="s">
        <v>51</v>
      </c>
      <c r="G52" s="89">
        <v>1.1000000000000001</v>
      </c>
      <c r="H52" s="62" t="s">
        <v>633</v>
      </c>
      <c r="I52" s="62">
        <v>1</v>
      </c>
      <c r="J52" s="90">
        <v>7.5</v>
      </c>
      <c r="K52" s="13">
        <f t="shared" si="0"/>
        <v>0.14666666666666667</v>
      </c>
      <c r="L52" s="7" t="s">
        <v>746</v>
      </c>
      <c r="M52" s="39" t="s">
        <v>1006</v>
      </c>
      <c r="N52" s="93"/>
      <c r="O52"/>
      <c r="P52"/>
      <c r="Q52"/>
      <c r="R52"/>
      <c r="S52"/>
      <c r="T52"/>
      <c r="U52"/>
      <c r="V52"/>
    </row>
    <row r="53" spans="1:22" s="70" customFormat="1" x14ac:dyDescent="0.25">
      <c r="A53" s="39" t="s">
        <v>600</v>
      </c>
      <c r="B53" s="58">
        <v>1.1000000000000001</v>
      </c>
      <c r="C53" s="39" t="s">
        <v>67</v>
      </c>
      <c r="D53" s="7" t="s">
        <v>747</v>
      </c>
      <c r="E53" s="70" t="s">
        <v>51</v>
      </c>
      <c r="F53" s="70" t="s">
        <v>51</v>
      </c>
      <c r="G53" s="89">
        <v>1.1000000000000001</v>
      </c>
      <c r="H53" s="62" t="s">
        <v>1008</v>
      </c>
      <c r="I53" s="62">
        <v>1</v>
      </c>
      <c r="J53" s="90">
        <f>14/0.8</f>
        <v>17.5</v>
      </c>
      <c r="K53" s="13">
        <f t="shared" si="0"/>
        <v>6.2857142857142861E-2</v>
      </c>
      <c r="L53" s="7" t="s">
        <v>748</v>
      </c>
      <c r="M53" s="39" t="s">
        <v>1007</v>
      </c>
      <c r="N53" s="39"/>
      <c r="O53"/>
      <c r="P53"/>
      <c r="Q53"/>
      <c r="R53"/>
      <c r="S53"/>
      <c r="T53"/>
      <c r="U53"/>
      <c r="V53"/>
    </row>
    <row r="54" spans="1:22" s="70" customFormat="1" ht="22.5" x14ac:dyDescent="0.25">
      <c r="A54" s="39" t="s">
        <v>600</v>
      </c>
      <c r="B54" s="58">
        <v>1.1000000000000001</v>
      </c>
      <c r="C54" s="39" t="s">
        <v>67</v>
      </c>
      <c r="D54" s="7" t="s">
        <v>657</v>
      </c>
      <c r="E54" s="70" t="s">
        <v>51</v>
      </c>
      <c r="F54" s="70" t="s">
        <v>51</v>
      </c>
      <c r="G54" s="89">
        <v>1.65</v>
      </c>
      <c r="H54" s="62" t="s">
        <v>624</v>
      </c>
      <c r="I54" s="62">
        <v>1</v>
      </c>
      <c r="J54" s="90">
        <f>2500/838</f>
        <v>2.9832935560859188</v>
      </c>
      <c r="K54" s="13">
        <f t="shared" si="0"/>
        <v>0.55308000000000002</v>
      </c>
      <c r="L54" s="7" t="s">
        <v>749</v>
      </c>
      <c r="M54" s="39" t="s">
        <v>1009</v>
      </c>
      <c r="N54" s="39"/>
      <c r="O54"/>
      <c r="P54"/>
      <c r="Q54"/>
      <c r="R54"/>
      <c r="S54"/>
      <c r="T54"/>
      <c r="U54"/>
      <c r="V54"/>
    </row>
    <row r="55" spans="1:22" s="70" customFormat="1" x14ac:dyDescent="0.25">
      <c r="A55" s="39" t="s">
        <v>600</v>
      </c>
      <c r="B55" s="58">
        <v>1.1000000000000001</v>
      </c>
      <c r="C55" s="39" t="s">
        <v>67</v>
      </c>
      <c r="D55" s="7" t="s">
        <v>750</v>
      </c>
      <c r="E55" s="70" t="s">
        <v>51</v>
      </c>
      <c r="F55" s="70" t="s">
        <v>51</v>
      </c>
      <c r="G55" s="89">
        <v>0.65</v>
      </c>
      <c r="H55" s="62">
        <v>4</v>
      </c>
      <c r="I55" s="62">
        <v>1</v>
      </c>
      <c r="J55" s="90">
        <v>2</v>
      </c>
      <c r="K55" s="13">
        <f t="shared" si="0"/>
        <v>0.32500000000000001</v>
      </c>
      <c r="L55" s="7" t="s">
        <v>751</v>
      </c>
      <c r="M55" s="39" t="s">
        <v>1010</v>
      </c>
      <c r="N55" s="39"/>
      <c r="O55"/>
      <c r="P55"/>
      <c r="Q55"/>
      <c r="R55"/>
      <c r="S55"/>
      <c r="T55"/>
      <c r="U55"/>
      <c r="V55"/>
    </row>
    <row r="56" spans="1:22" s="70" customFormat="1" ht="23.1" customHeight="1" x14ac:dyDescent="0.25">
      <c r="A56" s="39" t="s">
        <v>600</v>
      </c>
      <c r="B56" s="58">
        <v>1.1000000000000001</v>
      </c>
      <c r="C56" s="39" t="s">
        <v>67</v>
      </c>
      <c r="D56" s="7" t="s">
        <v>635</v>
      </c>
      <c r="E56" s="70" t="s">
        <v>51</v>
      </c>
      <c r="F56" s="70" t="s">
        <v>51</v>
      </c>
      <c r="G56" s="89">
        <v>0.59</v>
      </c>
      <c r="H56" s="62" t="s">
        <v>603</v>
      </c>
      <c r="I56" s="62">
        <v>1</v>
      </c>
      <c r="J56" s="90">
        <f>200/36</f>
        <v>5.5555555555555554</v>
      </c>
      <c r="K56" s="13">
        <f t="shared" si="0"/>
        <v>0.1062</v>
      </c>
      <c r="L56" s="7" t="s">
        <v>752</v>
      </c>
      <c r="M56" s="39" t="s">
        <v>1011</v>
      </c>
      <c r="N56" s="39"/>
      <c r="O56"/>
      <c r="P56"/>
      <c r="Q56"/>
      <c r="R56"/>
      <c r="S56"/>
      <c r="T56"/>
      <c r="U56"/>
      <c r="V56"/>
    </row>
    <row r="57" spans="1:22" s="70" customFormat="1" ht="22.5" x14ac:dyDescent="0.25">
      <c r="A57" s="39" t="s">
        <v>600</v>
      </c>
      <c r="B57" s="58">
        <v>1.1000000000000001</v>
      </c>
      <c r="C57" s="39" t="s">
        <v>67</v>
      </c>
      <c r="D57" s="7" t="s">
        <v>753</v>
      </c>
      <c r="E57" s="70" t="s">
        <v>1014</v>
      </c>
      <c r="F57" s="70" t="s">
        <v>51</v>
      </c>
      <c r="G57" s="89">
        <v>1.7</v>
      </c>
      <c r="H57" s="62" t="s">
        <v>636</v>
      </c>
      <c r="I57" s="62">
        <v>1</v>
      </c>
      <c r="J57" s="90">
        <f>170/12</f>
        <v>14.166666666666666</v>
      </c>
      <c r="K57" s="13">
        <f t="shared" si="0"/>
        <v>0.12</v>
      </c>
      <c r="L57" s="7" t="s">
        <v>754</v>
      </c>
      <c r="M57" s="39" t="s">
        <v>1012</v>
      </c>
      <c r="N57" s="93"/>
      <c r="O57"/>
      <c r="P57"/>
      <c r="Q57"/>
      <c r="R57"/>
      <c r="S57"/>
      <c r="T57"/>
      <c r="U57"/>
      <c r="V57"/>
    </row>
    <row r="58" spans="1:22" s="70" customFormat="1" ht="22.5" customHeight="1" x14ac:dyDescent="0.25">
      <c r="A58" s="39" t="s">
        <v>600</v>
      </c>
      <c r="B58" s="58">
        <v>1.1000000000000001</v>
      </c>
      <c r="C58" s="39" t="s">
        <v>67</v>
      </c>
      <c r="D58" s="7" t="s">
        <v>629</v>
      </c>
      <c r="E58" s="70" t="s">
        <v>51</v>
      </c>
      <c r="F58" s="70" t="s">
        <v>51</v>
      </c>
      <c r="G58" s="89">
        <v>1.3</v>
      </c>
      <c r="H58" s="62" t="s">
        <v>626</v>
      </c>
      <c r="I58" s="62">
        <v>1</v>
      </c>
      <c r="J58" s="90">
        <v>1.76</v>
      </c>
      <c r="K58" s="13">
        <f t="shared" si="0"/>
        <v>0.73863636363636365</v>
      </c>
      <c r="L58" s="7" t="s">
        <v>755</v>
      </c>
      <c r="M58" s="39" t="s">
        <v>1013</v>
      </c>
      <c r="N58" s="58"/>
      <c r="O58"/>
      <c r="P58"/>
      <c r="Q58"/>
      <c r="R58"/>
      <c r="S58"/>
      <c r="T58"/>
      <c r="U58"/>
      <c r="V58"/>
    </row>
    <row r="59" spans="1:22" s="70" customFormat="1" ht="15.6" customHeight="1" x14ac:dyDescent="0.25">
      <c r="A59" s="39" t="s">
        <v>600</v>
      </c>
      <c r="B59" s="58">
        <v>1.1000000000000001</v>
      </c>
      <c r="C59" s="39" t="s">
        <v>67</v>
      </c>
      <c r="D59" s="7" t="s">
        <v>628</v>
      </c>
      <c r="E59" s="70" t="s">
        <v>51</v>
      </c>
      <c r="F59" s="70" t="s">
        <v>51</v>
      </c>
      <c r="G59" s="89">
        <v>1.45</v>
      </c>
      <c r="H59" s="62" t="s">
        <v>1016</v>
      </c>
      <c r="I59" s="62">
        <v>1</v>
      </c>
      <c r="J59" s="90">
        <f>910/380</f>
        <v>2.3947368421052633</v>
      </c>
      <c r="K59" s="13">
        <f t="shared" si="0"/>
        <v>0.60549450549450545</v>
      </c>
      <c r="L59" s="7" t="s">
        <v>756</v>
      </c>
      <c r="M59" s="39" t="s">
        <v>1015</v>
      </c>
      <c r="N59" s="39"/>
      <c r="O59"/>
      <c r="P59"/>
      <c r="Q59"/>
      <c r="R59"/>
      <c r="S59"/>
      <c r="T59"/>
      <c r="U59"/>
      <c r="V59"/>
    </row>
    <row r="60" spans="1:22" s="70" customFormat="1" ht="21.95" customHeight="1" x14ac:dyDescent="0.25">
      <c r="A60" s="39" t="s">
        <v>600</v>
      </c>
      <c r="B60" s="58">
        <v>1.1000000000000001</v>
      </c>
      <c r="C60" s="39" t="s">
        <v>67</v>
      </c>
      <c r="D60" s="7" t="s">
        <v>632</v>
      </c>
      <c r="E60" s="70" t="s">
        <v>51</v>
      </c>
      <c r="F60" s="70" t="s">
        <v>51</v>
      </c>
      <c r="G60" s="89">
        <v>1.6</v>
      </c>
      <c r="H60" s="62" t="s">
        <v>618</v>
      </c>
      <c r="I60" s="62">
        <v>1</v>
      </c>
      <c r="J60" s="90">
        <f>1000/180</f>
        <v>5.5555555555555554</v>
      </c>
      <c r="K60" s="13">
        <f t="shared" si="0"/>
        <v>0.28800000000000003</v>
      </c>
      <c r="L60" s="7" t="s">
        <v>757</v>
      </c>
      <c r="M60" s="39" t="s">
        <v>1017</v>
      </c>
      <c r="N60" s="39"/>
      <c r="O60"/>
      <c r="P60"/>
      <c r="Q60"/>
      <c r="R60"/>
      <c r="S60"/>
      <c r="T60"/>
      <c r="U60"/>
      <c r="V60"/>
    </row>
    <row r="61" spans="1:22" s="70" customFormat="1" ht="21.95" customHeight="1" x14ac:dyDescent="0.25">
      <c r="A61" s="39" t="s">
        <v>600</v>
      </c>
      <c r="B61" s="58">
        <v>1.1000000000000001</v>
      </c>
      <c r="C61" s="39" t="s">
        <v>67</v>
      </c>
      <c r="D61" s="7" t="s">
        <v>758</v>
      </c>
      <c r="E61" s="70" t="s">
        <v>51</v>
      </c>
      <c r="F61" s="70" t="s">
        <v>51</v>
      </c>
      <c r="G61" s="89">
        <v>4.5</v>
      </c>
      <c r="H61" s="62">
        <v>4</v>
      </c>
      <c r="I61" s="62">
        <v>1</v>
      </c>
      <c r="J61" s="90">
        <v>2</v>
      </c>
      <c r="K61" s="13">
        <f t="shared" si="0"/>
        <v>2.25</v>
      </c>
      <c r="L61" s="7" t="s">
        <v>759</v>
      </c>
      <c r="M61" s="39" t="s">
        <v>1018</v>
      </c>
      <c r="N61" s="39"/>
      <c r="O61"/>
      <c r="P61"/>
      <c r="Q61"/>
      <c r="R61"/>
      <c r="S61"/>
      <c r="T61"/>
      <c r="U61"/>
      <c r="V61"/>
    </row>
    <row r="62" spans="1:22" s="70" customFormat="1" ht="32.1" customHeight="1" x14ac:dyDescent="0.25">
      <c r="A62" s="39" t="s">
        <v>600</v>
      </c>
      <c r="B62" s="58">
        <v>1.1000000000000001</v>
      </c>
      <c r="C62" s="39" t="s">
        <v>67</v>
      </c>
      <c r="D62" s="7" t="s">
        <v>760</v>
      </c>
      <c r="E62" s="70" t="s">
        <v>51</v>
      </c>
      <c r="F62" s="70" t="s">
        <v>51</v>
      </c>
      <c r="G62" s="89">
        <v>1.35</v>
      </c>
      <c r="H62" s="62" t="s">
        <v>618</v>
      </c>
      <c r="I62" s="62">
        <v>1</v>
      </c>
      <c r="J62" s="90">
        <v>2.96</v>
      </c>
      <c r="K62" s="13">
        <f t="shared" si="0"/>
        <v>0.45608108108108114</v>
      </c>
      <c r="L62" s="7" t="s">
        <v>761</v>
      </c>
      <c r="M62" s="39" t="s">
        <v>1019</v>
      </c>
      <c r="N62" s="39"/>
      <c r="O62"/>
      <c r="P62"/>
      <c r="Q62"/>
      <c r="R62"/>
      <c r="S62"/>
      <c r="T62"/>
      <c r="U62"/>
      <c r="V62"/>
    </row>
    <row r="63" spans="1:22" s="70" customFormat="1" ht="16.5" customHeight="1" x14ac:dyDescent="0.25">
      <c r="A63" s="39" t="s">
        <v>600</v>
      </c>
      <c r="B63" s="58">
        <v>1.1000000000000001</v>
      </c>
      <c r="C63" s="39" t="s">
        <v>67</v>
      </c>
      <c r="D63" s="7" t="s">
        <v>762</v>
      </c>
      <c r="E63" s="70" t="s">
        <v>51</v>
      </c>
      <c r="F63" s="70" t="s">
        <v>51</v>
      </c>
      <c r="G63" s="89">
        <v>1.3</v>
      </c>
      <c r="H63" s="62" t="s">
        <v>626</v>
      </c>
      <c r="I63" s="62">
        <v>1</v>
      </c>
      <c r="J63" s="90">
        <v>3.21</v>
      </c>
      <c r="K63" s="13">
        <f t="shared" si="0"/>
        <v>0.40498442367601251</v>
      </c>
      <c r="L63" s="7" t="s">
        <v>617</v>
      </c>
      <c r="M63" s="39" t="s">
        <v>1020</v>
      </c>
      <c r="N63" s="39"/>
      <c r="O63"/>
      <c r="P63"/>
      <c r="Q63"/>
      <c r="R63"/>
      <c r="S63"/>
      <c r="T63"/>
      <c r="U63"/>
      <c r="V63"/>
    </row>
    <row r="64" spans="1:22" s="70" customFormat="1" x14ac:dyDescent="0.25">
      <c r="A64" s="39" t="s">
        <v>600</v>
      </c>
      <c r="B64" s="58">
        <v>1.1000000000000001</v>
      </c>
      <c r="C64" s="39" t="s">
        <v>67</v>
      </c>
      <c r="D64" s="7" t="s">
        <v>763</v>
      </c>
      <c r="E64" s="70" t="s">
        <v>51</v>
      </c>
      <c r="F64" s="70" t="s">
        <v>51</v>
      </c>
      <c r="G64" s="89">
        <v>1.49</v>
      </c>
      <c r="H64" s="62" t="s">
        <v>618</v>
      </c>
      <c r="I64" s="62">
        <v>1</v>
      </c>
      <c r="J64" s="90">
        <f>1000/104</f>
        <v>9.615384615384615</v>
      </c>
      <c r="K64" s="13">
        <f t="shared" si="0"/>
        <v>0.15496000000000001</v>
      </c>
      <c r="L64" s="7" t="s">
        <v>764</v>
      </c>
      <c r="M64" s="39" t="s">
        <v>1021</v>
      </c>
      <c r="N64" s="39"/>
      <c r="O64"/>
      <c r="P64"/>
      <c r="Q64"/>
      <c r="R64"/>
      <c r="S64"/>
      <c r="T64"/>
      <c r="U64"/>
      <c r="V64"/>
    </row>
    <row r="65" spans="1:22" s="70" customFormat="1" x14ac:dyDescent="0.25">
      <c r="A65" s="39" t="s">
        <v>600</v>
      </c>
      <c r="B65" s="58">
        <v>1.1000000000000001</v>
      </c>
      <c r="C65" s="39" t="s">
        <v>67</v>
      </c>
      <c r="D65" s="7" t="s">
        <v>765</v>
      </c>
      <c r="E65" s="70" t="s">
        <v>51</v>
      </c>
      <c r="F65" s="70" t="s">
        <v>51</v>
      </c>
      <c r="G65" s="89">
        <v>0.8</v>
      </c>
      <c r="H65" s="62" t="s">
        <v>636</v>
      </c>
      <c r="I65" s="62">
        <v>1</v>
      </c>
      <c r="J65" s="90">
        <v>1</v>
      </c>
      <c r="K65" s="13">
        <f t="shared" si="0"/>
        <v>0.8</v>
      </c>
      <c r="L65" s="7" t="s">
        <v>766</v>
      </c>
      <c r="M65" s="39" t="s">
        <v>1022</v>
      </c>
      <c r="N65" s="93"/>
      <c r="O65"/>
      <c r="P65"/>
      <c r="Q65"/>
      <c r="R65"/>
      <c r="S65"/>
      <c r="T65"/>
      <c r="U65"/>
      <c r="V65"/>
    </row>
    <row r="66" spans="1:22" s="70" customFormat="1" x14ac:dyDescent="0.25">
      <c r="A66" s="39" t="s">
        <v>600</v>
      </c>
      <c r="B66" s="58">
        <v>1.1000000000000001</v>
      </c>
      <c r="C66" s="39" t="s">
        <v>67</v>
      </c>
      <c r="D66" s="7" t="s">
        <v>640</v>
      </c>
      <c r="E66" s="70" t="s">
        <v>641</v>
      </c>
      <c r="F66" s="70" t="s">
        <v>51</v>
      </c>
      <c r="G66" s="89">
        <v>2</v>
      </c>
      <c r="H66" s="62" t="s">
        <v>642</v>
      </c>
      <c r="I66" s="62">
        <v>1</v>
      </c>
      <c r="J66" s="90">
        <f>350/37</f>
        <v>9.4594594594594597</v>
      </c>
      <c r="K66" s="13">
        <f t="shared" ref="K66:K103" si="1">(G66*I66)/J66</f>
        <v>0.21142857142857144</v>
      </c>
      <c r="L66" s="7" t="s">
        <v>767</v>
      </c>
      <c r="M66" s="39" t="s">
        <v>1023</v>
      </c>
      <c r="N66" s="39"/>
      <c r="O66"/>
      <c r="P66"/>
      <c r="Q66"/>
      <c r="R66"/>
      <c r="S66"/>
      <c r="T66"/>
      <c r="U66"/>
      <c r="V66"/>
    </row>
    <row r="67" spans="1:22" s="70" customFormat="1" ht="22.5" x14ac:dyDescent="0.25">
      <c r="A67" s="39" t="s">
        <v>600</v>
      </c>
      <c r="B67" s="58">
        <v>1.1000000000000001</v>
      </c>
      <c r="C67" s="39" t="s">
        <v>67</v>
      </c>
      <c r="D67" s="7" t="s">
        <v>653</v>
      </c>
      <c r="E67" s="70" t="s">
        <v>51</v>
      </c>
      <c r="F67" s="70" t="s">
        <v>51</v>
      </c>
      <c r="G67" s="89">
        <v>2</v>
      </c>
      <c r="H67" s="62" t="s">
        <v>1025</v>
      </c>
      <c r="I67" s="62">
        <v>1</v>
      </c>
      <c r="J67" s="90">
        <v>1</v>
      </c>
      <c r="K67" s="13">
        <f t="shared" si="1"/>
        <v>2</v>
      </c>
      <c r="L67" s="7" t="s">
        <v>768</v>
      </c>
      <c r="M67" s="39" t="s">
        <v>1024</v>
      </c>
      <c r="N67" s="39"/>
      <c r="O67"/>
      <c r="P67"/>
      <c r="Q67"/>
      <c r="R67"/>
      <c r="S67"/>
      <c r="T67"/>
      <c r="U67"/>
      <c r="V67"/>
    </row>
    <row r="68" spans="1:22" s="70" customFormat="1" x14ac:dyDescent="0.25">
      <c r="A68" s="39" t="s">
        <v>600</v>
      </c>
      <c r="B68" s="58">
        <v>1.1000000000000001</v>
      </c>
      <c r="C68" s="39" t="s">
        <v>67</v>
      </c>
      <c r="D68" s="7" t="s">
        <v>656</v>
      </c>
      <c r="E68" s="70" t="s">
        <v>51</v>
      </c>
      <c r="F68" s="70" t="s">
        <v>51</v>
      </c>
      <c r="G68" s="89">
        <v>0.5</v>
      </c>
      <c r="H68" s="62" t="s">
        <v>625</v>
      </c>
      <c r="I68" s="62">
        <v>1</v>
      </c>
      <c r="J68" s="90">
        <v>1</v>
      </c>
      <c r="K68" s="13">
        <f t="shared" si="1"/>
        <v>0.5</v>
      </c>
      <c r="L68" s="7" t="s">
        <v>769</v>
      </c>
      <c r="M68" s="39" t="s">
        <v>1026</v>
      </c>
      <c r="N68" s="39"/>
      <c r="O68"/>
      <c r="P68"/>
      <c r="Q68"/>
      <c r="R68"/>
      <c r="S68"/>
      <c r="T68"/>
      <c r="U68"/>
      <c r="V68"/>
    </row>
    <row r="69" spans="1:22" s="70" customFormat="1" ht="24" customHeight="1" x14ac:dyDescent="0.25">
      <c r="A69" s="39" t="s">
        <v>600</v>
      </c>
      <c r="B69" s="58">
        <v>1.1000000000000001</v>
      </c>
      <c r="C69" s="39" t="s">
        <v>67</v>
      </c>
      <c r="D69" s="7" t="s">
        <v>770</v>
      </c>
      <c r="E69" s="70" t="s">
        <v>51</v>
      </c>
      <c r="F69" s="70" t="s">
        <v>51</v>
      </c>
      <c r="G69" s="89">
        <v>0.9</v>
      </c>
      <c r="H69" s="62" t="s">
        <v>608</v>
      </c>
      <c r="I69" s="62">
        <v>1</v>
      </c>
      <c r="J69" s="90">
        <v>4.4000000000000004</v>
      </c>
      <c r="K69" s="13">
        <f t="shared" si="1"/>
        <v>0.20454545454545453</v>
      </c>
      <c r="L69" s="7" t="s">
        <v>771</v>
      </c>
      <c r="M69" s="39" t="s">
        <v>1027</v>
      </c>
      <c r="N69" s="39"/>
      <c r="O69"/>
      <c r="P69"/>
      <c r="Q69"/>
      <c r="R69"/>
      <c r="S69"/>
      <c r="T69"/>
      <c r="U69"/>
      <c r="V69"/>
    </row>
    <row r="70" spans="1:22" s="70" customFormat="1" ht="22.5" x14ac:dyDescent="0.25">
      <c r="A70" s="39" t="s">
        <v>600</v>
      </c>
      <c r="B70" s="58">
        <v>1.1000000000000001</v>
      </c>
      <c r="C70" s="39" t="s">
        <v>67</v>
      </c>
      <c r="D70" s="7" t="s">
        <v>772</v>
      </c>
      <c r="E70" s="70" t="s">
        <v>51</v>
      </c>
      <c r="F70" s="70" t="s">
        <v>51</v>
      </c>
      <c r="G70" s="89">
        <v>1.2</v>
      </c>
      <c r="H70" s="62" t="s">
        <v>616</v>
      </c>
      <c r="I70" s="62">
        <v>1</v>
      </c>
      <c r="J70" s="90">
        <v>1</v>
      </c>
      <c r="K70" s="13">
        <f t="shared" si="1"/>
        <v>1.2</v>
      </c>
      <c r="L70" s="7" t="s">
        <v>660</v>
      </c>
      <c r="M70" s="39" t="s">
        <v>1028</v>
      </c>
      <c r="N70" s="94"/>
      <c r="O70"/>
      <c r="P70"/>
      <c r="Q70"/>
      <c r="R70"/>
      <c r="S70"/>
      <c r="T70"/>
      <c r="U70"/>
      <c r="V70"/>
    </row>
    <row r="71" spans="1:22" s="70" customFormat="1" ht="24" customHeight="1" x14ac:dyDescent="0.25">
      <c r="A71" s="39" t="s">
        <v>600</v>
      </c>
      <c r="B71" s="58">
        <v>1.1000000000000001</v>
      </c>
      <c r="C71" s="39" t="s">
        <v>67</v>
      </c>
      <c r="D71" s="7" t="s">
        <v>620</v>
      </c>
      <c r="E71" s="70" t="s">
        <v>51</v>
      </c>
      <c r="F71" s="70" t="s">
        <v>51</v>
      </c>
      <c r="G71" s="89">
        <v>2.25</v>
      </c>
      <c r="H71" s="62" t="s">
        <v>622</v>
      </c>
      <c r="I71" s="62">
        <v>1</v>
      </c>
      <c r="J71" s="90">
        <v>1</v>
      </c>
      <c r="K71" s="13">
        <f t="shared" si="1"/>
        <v>2.25</v>
      </c>
      <c r="L71" s="7" t="s">
        <v>652</v>
      </c>
      <c r="M71" s="39" t="s">
        <v>1029</v>
      </c>
      <c r="N71" s="39"/>
      <c r="O71"/>
      <c r="P71"/>
      <c r="Q71"/>
      <c r="R71"/>
      <c r="S71"/>
      <c r="T71"/>
      <c r="U71"/>
      <c r="V71"/>
    </row>
    <row r="72" spans="1:22" s="70" customFormat="1" x14ac:dyDescent="0.25">
      <c r="A72" s="39" t="s">
        <v>600</v>
      </c>
      <c r="B72" s="58">
        <v>1.1000000000000001</v>
      </c>
      <c r="C72" s="39" t="s">
        <v>67</v>
      </c>
      <c r="D72" s="7" t="s">
        <v>637</v>
      </c>
      <c r="E72" s="70" t="s">
        <v>51</v>
      </c>
      <c r="F72" s="70" t="s">
        <v>51</v>
      </c>
      <c r="G72" s="89">
        <v>0.4</v>
      </c>
      <c r="H72" s="62" t="s">
        <v>773</v>
      </c>
      <c r="I72" s="62">
        <v>1</v>
      </c>
      <c r="J72" s="90">
        <v>1</v>
      </c>
      <c r="K72" s="13">
        <f t="shared" si="1"/>
        <v>0.4</v>
      </c>
      <c r="L72" s="7" t="s">
        <v>774</v>
      </c>
      <c r="M72" s="39" t="s">
        <v>1030</v>
      </c>
      <c r="N72" s="39"/>
      <c r="O72"/>
      <c r="P72"/>
      <c r="Q72"/>
      <c r="R72"/>
      <c r="S72"/>
      <c r="T72"/>
      <c r="U72"/>
      <c r="V72"/>
    </row>
    <row r="73" spans="1:22" s="70" customFormat="1" x14ac:dyDescent="0.25">
      <c r="A73" s="39" t="s">
        <v>600</v>
      </c>
      <c r="B73" s="58">
        <v>1.1000000000000001</v>
      </c>
      <c r="C73" s="39" t="s">
        <v>67</v>
      </c>
      <c r="D73" s="7" t="s">
        <v>775</v>
      </c>
      <c r="E73" s="70" t="s">
        <v>1032</v>
      </c>
      <c r="F73" s="70" t="s">
        <v>51</v>
      </c>
      <c r="G73" s="89">
        <v>2.95</v>
      </c>
      <c r="H73" s="62" t="s">
        <v>638</v>
      </c>
      <c r="I73" s="62">
        <v>1</v>
      </c>
      <c r="J73" s="90">
        <v>1</v>
      </c>
      <c r="K73" s="13">
        <f t="shared" si="1"/>
        <v>2.95</v>
      </c>
      <c r="L73" s="7" t="s">
        <v>776</v>
      </c>
      <c r="M73" s="39" t="s">
        <v>1031</v>
      </c>
      <c r="N73" s="39"/>
      <c r="O73"/>
      <c r="P73"/>
      <c r="Q73"/>
      <c r="R73"/>
      <c r="S73"/>
      <c r="T73"/>
      <c r="U73"/>
      <c r="V73"/>
    </row>
    <row r="74" spans="1:22" s="70" customFormat="1" ht="22.5" x14ac:dyDescent="0.25">
      <c r="A74" s="39" t="s">
        <v>600</v>
      </c>
      <c r="B74" s="58">
        <v>1.1000000000000001</v>
      </c>
      <c r="C74" s="39" t="s">
        <v>67</v>
      </c>
      <c r="D74" s="7" t="s">
        <v>634</v>
      </c>
      <c r="E74" s="70" t="s">
        <v>51</v>
      </c>
      <c r="F74" s="70" t="s">
        <v>51</v>
      </c>
      <c r="G74" s="89">
        <v>1.25</v>
      </c>
      <c r="H74" s="62" t="s">
        <v>1034</v>
      </c>
      <c r="I74" s="62">
        <v>1</v>
      </c>
      <c r="J74" s="95">
        <f>45/0.2</f>
        <v>225</v>
      </c>
      <c r="K74" s="13">
        <f t="shared" si="1"/>
        <v>5.5555555555555558E-3</v>
      </c>
      <c r="L74" s="7" t="s">
        <v>777</v>
      </c>
      <c r="M74" s="39" t="s">
        <v>1033</v>
      </c>
      <c r="N74" s="39"/>
      <c r="O74"/>
      <c r="P74"/>
      <c r="Q74"/>
      <c r="R74"/>
      <c r="S74"/>
      <c r="T74"/>
      <c r="U74"/>
      <c r="V74"/>
    </row>
    <row r="75" spans="1:22" s="70" customFormat="1" x14ac:dyDescent="0.25">
      <c r="A75" s="39" t="s">
        <v>600</v>
      </c>
      <c r="B75" s="58">
        <v>1.1000000000000001</v>
      </c>
      <c r="C75" s="39" t="s">
        <v>67</v>
      </c>
      <c r="D75" s="7" t="s">
        <v>778</v>
      </c>
      <c r="E75" s="70" t="s">
        <v>51</v>
      </c>
      <c r="F75" s="70" t="s">
        <v>51</v>
      </c>
      <c r="G75" s="89">
        <v>0.55000000000000004</v>
      </c>
      <c r="H75" s="62">
        <v>1</v>
      </c>
      <c r="I75" s="62">
        <v>2</v>
      </c>
      <c r="J75" s="90">
        <v>1</v>
      </c>
      <c r="K75" s="13">
        <f t="shared" si="1"/>
        <v>1.1000000000000001</v>
      </c>
      <c r="L75" s="7" t="s">
        <v>779</v>
      </c>
      <c r="M75" s="39" t="s">
        <v>780</v>
      </c>
      <c r="N75" s="39"/>
      <c r="O75"/>
      <c r="P75"/>
      <c r="Q75"/>
      <c r="R75"/>
      <c r="S75"/>
      <c r="T75"/>
      <c r="U75"/>
      <c r="V75"/>
    </row>
    <row r="76" spans="1:22" s="70" customFormat="1" ht="22.5" x14ac:dyDescent="0.25">
      <c r="A76" s="39" t="s">
        <v>600</v>
      </c>
      <c r="B76" s="58">
        <v>1.1000000000000001</v>
      </c>
      <c r="C76" s="39" t="s">
        <v>67</v>
      </c>
      <c r="D76" s="7" t="s">
        <v>781</v>
      </c>
      <c r="E76" s="70" t="s">
        <v>1037</v>
      </c>
      <c r="F76" s="70" t="s">
        <v>51</v>
      </c>
      <c r="G76" s="89">
        <v>3.75</v>
      </c>
      <c r="H76" s="62">
        <v>4</v>
      </c>
      <c r="I76" s="62">
        <v>1</v>
      </c>
      <c r="J76" s="90">
        <v>4</v>
      </c>
      <c r="K76" s="13">
        <f t="shared" si="1"/>
        <v>0.9375</v>
      </c>
      <c r="L76" s="7" t="s">
        <v>782</v>
      </c>
      <c r="M76" s="39" t="s">
        <v>1035</v>
      </c>
      <c r="N76" s="39"/>
      <c r="O76"/>
      <c r="P76"/>
      <c r="Q76"/>
      <c r="R76"/>
      <c r="S76"/>
      <c r="T76"/>
      <c r="U76"/>
      <c r="V76"/>
    </row>
    <row r="77" spans="1:22" s="70" customFormat="1" ht="24.95" customHeight="1" x14ac:dyDescent="0.25">
      <c r="A77" s="39" t="s">
        <v>600</v>
      </c>
      <c r="B77" s="58">
        <v>1.1000000000000001</v>
      </c>
      <c r="C77" s="39" t="s">
        <v>67</v>
      </c>
      <c r="D77" s="7" t="s">
        <v>783</v>
      </c>
      <c r="E77" s="70" t="s">
        <v>51</v>
      </c>
      <c r="F77" s="70" t="s">
        <v>51</v>
      </c>
      <c r="G77" s="89">
        <v>3.75</v>
      </c>
      <c r="H77" s="62">
        <v>4</v>
      </c>
      <c r="I77" s="62">
        <v>1</v>
      </c>
      <c r="J77" s="90">
        <v>2</v>
      </c>
      <c r="K77" s="13">
        <f t="shared" si="1"/>
        <v>1.875</v>
      </c>
      <c r="L77" s="7" t="s">
        <v>784</v>
      </c>
      <c r="M77" s="39" t="s">
        <v>1036</v>
      </c>
      <c r="N77" s="39"/>
      <c r="O77"/>
      <c r="P77"/>
      <c r="Q77"/>
      <c r="R77"/>
      <c r="S77"/>
      <c r="T77"/>
      <c r="U77"/>
      <c r="V77"/>
    </row>
    <row r="78" spans="1:22" s="70" customFormat="1" ht="24.95" customHeight="1" x14ac:dyDescent="0.25">
      <c r="A78" s="39" t="s">
        <v>600</v>
      </c>
      <c r="B78" s="58">
        <v>1.1000000000000001</v>
      </c>
      <c r="C78" s="39" t="s">
        <v>67</v>
      </c>
      <c r="D78" s="7" t="s">
        <v>785</v>
      </c>
      <c r="E78" s="70" t="s">
        <v>1039</v>
      </c>
      <c r="F78" s="70" t="s">
        <v>51</v>
      </c>
      <c r="G78" s="89">
        <v>4.75</v>
      </c>
      <c r="H78" s="62" t="s">
        <v>642</v>
      </c>
      <c r="I78" s="62">
        <v>1</v>
      </c>
      <c r="J78" s="90">
        <f>350/162</f>
        <v>2.1604938271604937</v>
      </c>
      <c r="K78" s="13">
        <f t="shared" si="1"/>
        <v>2.1985714285714288</v>
      </c>
      <c r="L78" s="7" t="s">
        <v>786</v>
      </c>
      <c r="M78" s="7" t="s">
        <v>1038</v>
      </c>
      <c r="N78" s="39"/>
      <c r="O78"/>
      <c r="P78"/>
      <c r="Q78"/>
      <c r="R78"/>
      <c r="S78"/>
      <c r="T78"/>
      <c r="U78"/>
      <c r="V78"/>
    </row>
    <row r="79" spans="1:22" s="70" customFormat="1" x14ac:dyDescent="0.25">
      <c r="A79" s="39" t="s">
        <v>600</v>
      </c>
      <c r="B79" s="58">
        <v>1.1000000000000001</v>
      </c>
      <c r="C79" s="39" t="s">
        <v>67</v>
      </c>
      <c r="D79" s="7" t="s">
        <v>787</v>
      </c>
      <c r="E79" s="70" t="s">
        <v>1043</v>
      </c>
      <c r="F79" s="70" t="s">
        <v>51</v>
      </c>
      <c r="G79" s="89">
        <v>1.95</v>
      </c>
      <c r="H79" s="62" t="s">
        <v>626</v>
      </c>
      <c r="I79" s="62">
        <v>1</v>
      </c>
      <c r="J79" s="90">
        <f>900/265</f>
        <v>3.3962264150943398</v>
      </c>
      <c r="K79" s="13">
        <f t="shared" si="1"/>
        <v>0.5741666666666666</v>
      </c>
      <c r="L79" s="7" t="s">
        <v>788</v>
      </c>
      <c r="M79" s="58" t="s">
        <v>1040</v>
      </c>
      <c r="N79" s="39"/>
      <c r="O79"/>
      <c r="P79"/>
      <c r="Q79"/>
      <c r="R79"/>
      <c r="S79"/>
      <c r="T79"/>
      <c r="U79"/>
      <c r="V79"/>
    </row>
    <row r="80" spans="1:22" s="70" customFormat="1" x14ac:dyDescent="0.25">
      <c r="A80" s="39" t="s">
        <v>600</v>
      </c>
      <c r="B80" s="58">
        <v>1.1000000000000001</v>
      </c>
      <c r="C80" s="39" t="s">
        <v>67</v>
      </c>
      <c r="D80" s="7" t="s">
        <v>789</v>
      </c>
      <c r="E80" s="70" t="s">
        <v>1044</v>
      </c>
      <c r="F80" s="70" t="s">
        <v>51</v>
      </c>
      <c r="G80" s="89">
        <v>1.2</v>
      </c>
      <c r="H80" s="62" t="s">
        <v>790</v>
      </c>
      <c r="I80" s="62">
        <v>1</v>
      </c>
      <c r="J80" s="90">
        <v>1</v>
      </c>
      <c r="K80" s="13">
        <f t="shared" si="1"/>
        <v>1.2</v>
      </c>
      <c r="L80" s="7" t="s">
        <v>782</v>
      </c>
      <c r="M80" s="39" t="s">
        <v>1041</v>
      </c>
      <c r="N80" s="39"/>
      <c r="O80"/>
      <c r="P80"/>
      <c r="Q80"/>
      <c r="R80"/>
      <c r="S80"/>
      <c r="T80"/>
      <c r="U80"/>
      <c r="V80"/>
    </row>
    <row r="81" spans="1:22" s="70" customFormat="1" ht="24" customHeight="1" x14ac:dyDescent="0.25">
      <c r="A81" s="39" t="s">
        <v>600</v>
      </c>
      <c r="B81" s="58">
        <v>1.1000000000000001</v>
      </c>
      <c r="C81" s="39" t="s">
        <v>67</v>
      </c>
      <c r="D81" s="7" t="s">
        <v>791</v>
      </c>
      <c r="E81" s="70" t="s">
        <v>51</v>
      </c>
      <c r="F81" s="70" t="s">
        <v>51</v>
      </c>
      <c r="G81" s="89">
        <v>2.29</v>
      </c>
      <c r="H81" s="62">
        <v>2</v>
      </c>
      <c r="I81" s="62">
        <v>1</v>
      </c>
      <c r="J81" s="90">
        <v>1</v>
      </c>
      <c r="K81" s="13">
        <f t="shared" si="1"/>
        <v>2.29</v>
      </c>
      <c r="L81" s="7" t="s">
        <v>792</v>
      </c>
      <c r="M81" s="39" t="s">
        <v>1042</v>
      </c>
      <c r="N81" s="39"/>
      <c r="O81"/>
      <c r="P81"/>
      <c r="Q81"/>
      <c r="R81"/>
      <c r="S81"/>
      <c r="T81"/>
      <c r="U81"/>
      <c r="V81"/>
    </row>
    <row r="82" spans="1:22" s="70" customFormat="1" ht="56.25" x14ac:dyDescent="0.25">
      <c r="A82" s="39" t="s">
        <v>600</v>
      </c>
      <c r="B82" s="58">
        <v>1.1000000000000001</v>
      </c>
      <c r="C82" s="39" t="s">
        <v>67</v>
      </c>
      <c r="D82" s="7" t="s">
        <v>793</v>
      </c>
      <c r="E82" s="70" t="s">
        <v>51</v>
      </c>
      <c r="F82" s="70" t="s">
        <v>51</v>
      </c>
      <c r="G82" s="89">
        <v>5.5</v>
      </c>
      <c r="H82" s="62">
        <v>1</v>
      </c>
      <c r="I82" s="62">
        <v>1</v>
      </c>
      <c r="J82" s="90">
        <v>1</v>
      </c>
      <c r="K82" s="13">
        <f t="shared" si="1"/>
        <v>5.5</v>
      </c>
      <c r="L82" s="7" t="s">
        <v>794</v>
      </c>
      <c r="M82" s="39" t="s">
        <v>1045</v>
      </c>
      <c r="N82" s="39"/>
      <c r="O82"/>
      <c r="P82"/>
      <c r="Q82"/>
      <c r="R82"/>
      <c r="S82"/>
      <c r="T82"/>
      <c r="U82"/>
      <c r="V82"/>
    </row>
    <row r="83" spans="1:22" s="70" customFormat="1" ht="17.100000000000001" customHeight="1" x14ac:dyDescent="0.25">
      <c r="A83" s="39" t="s">
        <v>600</v>
      </c>
      <c r="B83" s="58">
        <v>1.1000000000000001</v>
      </c>
      <c r="C83" s="39" t="s">
        <v>67</v>
      </c>
      <c r="D83" s="7" t="s">
        <v>795</v>
      </c>
      <c r="E83" s="70" t="s">
        <v>1047</v>
      </c>
      <c r="F83" s="70" t="s">
        <v>51</v>
      </c>
      <c r="G83" s="89">
        <v>3</v>
      </c>
      <c r="H83" s="62" t="s">
        <v>639</v>
      </c>
      <c r="I83" s="62">
        <v>1</v>
      </c>
      <c r="J83" s="90">
        <v>1</v>
      </c>
      <c r="K83" s="13">
        <f t="shared" si="1"/>
        <v>3</v>
      </c>
      <c r="L83" s="7" t="s">
        <v>796</v>
      </c>
      <c r="M83" s="7" t="s">
        <v>1046</v>
      </c>
      <c r="N83" s="39"/>
      <c r="O83"/>
      <c r="P83"/>
      <c r="Q83"/>
      <c r="R83"/>
      <c r="S83"/>
      <c r="T83"/>
      <c r="U83"/>
      <c r="V83"/>
    </row>
    <row r="84" spans="1:22" s="70" customFormat="1" x14ac:dyDescent="0.25">
      <c r="A84" s="39" t="s">
        <v>600</v>
      </c>
      <c r="B84" s="58">
        <v>1.1000000000000001</v>
      </c>
      <c r="C84" s="39" t="s">
        <v>67</v>
      </c>
      <c r="D84" s="7" t="s">
        <v>797</v>
      </c>
      <c r="E84" s="70" t="s">
        <v>51</v>
      </c>
      <c r="F84" s="70" t="s">
        <v>51</v>
      </c>
      <c r="G84" s="89">
        <v>0.55000000000000004</v>
      </c>
      <c r="H84" s="62">
        <v>1</v>
      </c>
      <c r="I84" s="62">
        <v>1</v>
      </c>
      <c r="J84" s="90">
        <v>1</v>
      </c>
      <c r="K84" s="13">
        <f t="shared" si="1"/>
        <v>0.55000000000000004</v>
      </c>
      <c r="L84" s="7" t="s">
        <v>798</v>
      </c>
      <c r="M84" s="39" t="s">
        <v>799</v>
      </c>
      <c r="N84" s="39"/>
      <c r="O84"/>
      <c r="P84"/>
      <c r="Q84"/>
      <c r="R84"/>
      <c r="S84"/>
      <c r="T84"/>
      <c r="U84"/>
      <c r="V84"/>
    </row>
    <row r="85" spans="1:22" s="70" customFormat="1" ht="22.5" x14ac:dyDescent="0.25">
      <c r="A85" s="39" t="s">
        <v>600</v>
      </c>
      <c r="B85" s="58">
        <v>1.1000000000000001</v>
      </c>
      <c r="C85" s="39" t="s">
        <v>67</v>
      </c>
      <c r="D85" s="7" t="s">
        <v>1285</v>
      </c>
      <c r="E85" s="70" t="s">
        <v>51</v>
      </c>
      <c r="F85" s="70" t="s">
        <v>51</v>
      </c>
      <c r="G85" s="89">
        <v>4.2</v>
      </c>
      <c r="H85" s="62">
        <v>1</v>
      </c>
      <c r="I85" s="62">
        <v>1</v>
      </c>
      <c r="J85" s="90">
        <v>1</v>
      </c>
      <c r="K85" s="13">
        <f t="shared" si="1"/>
        <v>4.2</v>
      </c>
      <c r="L85" s="7" t="s">
        <v>1286</v>
      </c>
      <c r="M85" s="39" t="s">
        <v>1287</v>
      </c>
      <c r="N85" s="39"/>
      <c r="O85"/>
      <c r="P85"/>
      <c r="Q85"/>
      <c r="R85"/>
      <c r="S85"/>
      <c r="T85"/>
      <c r="U85"/>
      <c r="V85"/>
    </row>
    <row r="86" spans="1:22" s="70" customFormat="1" x14ac:dyDescent="0.25">
      <c r="A86" s="39" t="s">
        <v>600</v>
      </c>
      <c r="B86" s="58">
        <v>1.1000000000000001</v>
      </c>
      <c r="C86" s="39" t="s">
        <v>67</v>
      </c>
      <c r="D86" s="7" t="s">
        <v>800</v>
      </c>
      <c r="E86" s="70" t="s">
        <v>51</v>
      </c>
      <c r="F86" s="70" t="s">
        <v>51</v>
      </c>
      <c r="G86" s="89">
        <v>1.75</v>
      </c>
      <c r="H86" s="62" t="s">
        <v>626</v>
      </c>
      <c r="I86" s="62">
        <v>1</v>
      </c>
      <c r="J86" s="90">
        <v>5.63</v>
      </c>
      <c r="K86" s="13">
        <f t="shared" si="1"/>
        <v>0.31083481349911191</v>
      </c>
      <c r="L86" s="7" t="s">
        <v>801</v>
      </c>
      <c r="M86" s="39" t="s">
        <v>1048</v>
      </c>
      <c r="N86" s="39"/>
      <c r="O86"/>
      <c r="P86"/>
      <c r="Q86"/>
      <c r="R86"/>
      <c r="S86"/>
      <c r="T86"/>
      <c r="U86"/>
      <c r="V86"/>
    </row>
    <row r="87" spans="1:22" s="70" customFormat="1" ht="22.5" x14ac:dyDescent="0.25">
      <c r="A87" s="39" t="s">
        <v>600</v>
      </c>
      <c r="B87" s="58">
        <v>1.1000000000000001</v>
      </c>
      <c r="C87" s="39" t="s">
        <v>67</v>
      </c>
      <c r="D87" s="7" t="s">
        <v>802</v>
      </c>
      <c r="E87" s="70" t="s">
        <v>51</v>
      </c>
      <c r="F87" s="70" t="s">
        <v>51</v>
      </c>
      <c r="G87" s="89">
        <v>1.1000000000000001</v>
      </c>
      <c r="H87" s="62">
        <v>4</v>
      </c>
      <c r="I87" s="62">
        <v>1</v>
      </c>
      <c r="J87" s="90">
        <v>2</v>
      </c>
      <c r="K87" s="13">
        <f t="shared" si="1"/>
        <v>0.55000000000000004</v>
      </c>
      <c r="L87" s="7" t="s">
        <v>803</v>
      </c>
      <c r="M87" s="39" t="s">
        <v>1049</v>
      </c>
      <c r="N87" s="39"/>
      <c r="O87"/>
      <c r="P87"/>
      <c r="Q87"/>
      <c r="R87"/>
      <c r="S87"/>
      <c r="T87"/>
      <c r="U87"/>
      <c r="V87"/>
    </row>
    <row r="88" spans="1:22" s="70" customFormat="1" ht="24.95" customHeight="1" x14ac:dyDescent="0.25">
      <c r="A88" s="39" t="s">
        <v>600</v>
      </c>
      <c r="B88" s="58">
        <v>1.1000000000000001</v>
      </c>
      <c r="C88" s="39" t="s">
        <v>67</v>
      </c>
      <c r="D88" s="7" t="s">
        <v>804</v>
      </c>
      <c r="E88" s="70" t="s">
        <v>51</v>
      </c>
      <c r="F88" s="70" t="s">
        <v>51</v>
      </c>
      <c r="G88" s="89">
        <v>3.9</v>
      </c>
      <c r="H88" s="62" t="s">
        <v>618</v>
      </c>
      <c r="I88" s="62">
        <v>1</v>
      </c>
      <c r="J88" s="90">
        <f>1000/120</f>
        <v>8.3333333333333339</v>
      </c>
      <c r="K88" s="13">
        <f t="shared" si="1"/>
        <v>0.46799999999999997</v>
      </c>
      <c r="L88" s="7" t="s">
        <v>805</v>
      </c>
      <c r="M88" s="39" t="s">
        <v>1050</v>
      </c>
      <c r="N88" s="39"/>
      <c r="O88"/>
      <c r="P88"/>
      <c r="Q88"/>
      <c r="R88"/>
      <c r="S88"/>
      <c r="T88"/>
      <c r="U88"/>
      <c r="V88"/>
    </row>
    <row r="89" spans="1:22" s="70" customFormat="1" ht="22.5" x14ac:dyDescent="0.25">
      <c r="A89" s="39" t="s">
        <v>600</v>
      </c>
      <c r="B89" s="58">
        <v>1.1000000000000001</v>
      </c>
      <c r="C89" s="39" t="s">
        <v>67</v>
      </c>
      <c r="D89" s="7" t="s">
        <v>806</v>
      </c>
      <c r="E89" s="70" t="s">
        <v>51</v>
      </c>
      <c r="F89" s="70" t="s">
        <v>51</v>
      </c>
      <c r="G89" s="89">
        <v>5.24</v>
      </c>
      <c r="H89" s="62" t="s">
        <v>638</v>
      </c>
      <c r="I89" s="62">
        <v>1</v>
      </c>
      <c r="J89" s="90">
        <f>500/250</f>
        <v>2</v>
      </c>
      <c r="K89" s="13">
        <f t="shared" si="1"/>
        <v>2.62</v>
      </c>
      <c r="L89" s="7" t="s">
        <v>652</v>
      </c>
      <c r="M89" s="39" t="s">
        <v>1051</v>
      </c>
      <c r="N89" s="39"/>
      <c r="O89"/>
      <c r="P89"/>
      <c r="Q89"/>
      <c r="R89"/>
      <c r="S89"/>
      <c r="T89"/>
      <c r="U89"/>
      <c r="V89"/>
    </row>
    <row r="90" spans="1:22" s="70" customFormat="1" x14ac:dyDescent="0.25">
      <c r="A90" s="39" t="s">
        <v>600</v>
      </c>
      <c r="B90" s="58">
        <v>1.1000000000000001</v>
      </c>
      <c r="C90" s="39" t="s">
        <v>67</v>
      </c>
      <c r="D90" s="7" t="s">
        <v>807</v>
      </c>
      <c r="E90" s="70" t="s">
        <v>51</v>
      </c>
      <c r="F90" s="70" t="s">
        <v>51</v>
      </c>
      <c r="G90" s="89">
        <v>1.5</v>
      </c>
      <c r="H90" s="62" t="s">
        <v>610</v>
      </c>
      <c r="I90" s="62">
        <v>1</v>
      </c>
      <c r="J90" s="90">
        <f>500/50</f>
        <v>10</v>
      </c>
      <c r="K90" s="13">
        <f t="shared" si="1"/>
        <v>0.15</v>
      </c>
      <c r="L90" s="7" t="s">
        <v>643</v>
      </c>
      <c r="M90" s="39" t="s">
        <v>1052</v>
      </c>
      <c r="N90" s="39"/>
      <c r="O90"/>
      <c r="P90"/>
      <c r="Q90"/>
      <c r="R90"/>
      <c r="S90"/>
      <c r="T90"/>
      <c r="U90"/>
      <c r="V90"/>
    </row>
    <row r="91" spans="1:22" s="70" customFormat="1" ht="22.5" x14ac:dyDescent="0.25">
      <c r="A91" s="39" t="s">
        <v>600</v>
      </c>
      <c r="B91" s="58">
        <v>1.1000000000000001</v>
      </c>
      <c r="C91" s="39" t="s">
        <v>67</v>
      </c>
      <c r="D91" s="7" t="s">
        <v>808</v>
      </c>
      <c r="E91" s="70" t="s">
        <v>51</v>
      </c>
      <c r="F91" s="70" t="s">
        <v>51</v>
      </c>
      <c r="G91" s="89">
        <v>2.2999999999999998</v>
      </c>
      <c r="H91" s="62" t="s">
        <v>659</v>
      </c>
      <c r="I91" s="62">
        <v>1</v>
      </c>
      <c r="J91" s="90">
        <f>38/10</f>
        <v>3.8</v>
      </c>
      <c r="K91" s="13">
        <f t="shared" si="1"/>
        <v>0.60526315789473684</v>
      </c>
      <c r="L91" s="7" t="s">
        <v>809</v>
      </c>
      <c r="M91" s="39" t="s">
        <v>1053</v>
      </c>
      <c r="N91" s="39"/>
      <c r="O91"/>
      <c r="P91"/>
      <c r="Q91"/>
      <c r="R91"/>
      <c r="S91"/>
      <c r="T91"/>
      <c r="U91"/>
      <c r="V91"/>
    </row>
    <row r="92" spans="1:22" s="70" customFormat="1" x14ac:dyDescent="0.25">
      <c r="A92" s="39" t="s">
        <v>600</v>
      </c>
      <c r="B92" s="58">
        <v>1.1000000000000001</v>
      </c>
      <c r="C92" s="39" t="s">
        <v>67</v>
      </c>
      <c r="D92" s="7" t="s">
        <v>810</v>
      </c>
      <c r="E92" s="70" t="s">
        <v>51</v>
      </c>
      <c r="F92" s="70" t="s">
        <v>51</v>
      </c>
      <c r="G92" s="89">
        <v>1.1000000000000001</v>
      </c>
      <c r="H92" s="62" t="s">
        <v>1055</v>
      </c>
      <c r="I92" s="62">
        <v>1</v>
      </c>
      <c r="J92" s="90">
        <f>50/1.2</f>
        <v>41.666666666666671</v>
      </c>
      <c r="K92" s="13">
        <f t="shared" si="1"/>
        <v>2.64E-2</v>
      </c>
      <c r="L92" s="7" t="s">
        <v>811</v>
      </c>
      <c r="M92" s="39" t="s">
        <v>1054</v>
      </c>
      <c r="N92" s="39"/>
      <c r="O92"/>
      <c r="P92"/>
      <c r="Q92"/>
      <c r="R92"/>
      <c r="S92"/>
      <c r="T92"/>
      <c r="U92"/>
      <c r="V92"/>
    </row>
    <row r="93" spans="1:22" s="70" customFormat="1" x14ac:dyDescent="0.25">
      <c r="A93" s="39" t="s">
        <v>600</v>
      </c>
      <c r="B93" s="58">
        <v>1.1000000000000001</v>
      </c>
      <c r="C93" s="39" t="s">
        <v>67</v>
      </c>
      <c r="D93" s="7" t="s">
        <v>812</v>
      </c>
      <c r="E93" s="70" t="s">
        <v>51</v>
      </c>
      <c r="F93" s="70" t="s">
        <v>51</v>
      </c>
      <c r="G93" s="89">
        <v>0.7</v>
      </c>
      <c r="H93" s="62" t="s">
        <v>610</v>
      </c>
      <c r="I93" s="62">
        <v>1</v>
      </c>
      <c r="J93" s="90">
        <f>500/190</f>
        <v>2.6315789473684212</v>
      </c>
      <c r="K93" s="13">
        <f t="shared" si="1"/>
        <v>0.26599999999999996</v>
      </c>
      <c r="L93" s="7" t="s">
        <v>702</v>
      </c>
      <c r="M93" s="7" t="s">
        <v>1056</v>
      </c>
      <c r="N93" s="39"/>
      <c r="O93"/>
      <c r="P93"/>
      <c r="Q93"/>
      <c r="R93"/>
      <c r="S93"/>
      <c r="T93"/>
      <c r="U93"/>
      <c r="V93"/>
    </row>
    <row r="94" spans="1:22" s="70" customFormat="1" ht="17.25" customHeight="1" x14ac:dyDescent="0.25">
      <c r="A94" s="39" t="s">
        <v>600</v>
      </c>
      <c r="B94" s="58">
        <v>1.1000000000000001</v>
      </c>
      <c r="C94" s="39" t="s">
        <v>67</v>
      </c>
      <c r="D94" s="7" t="s">
        <v>813</v>
      </c>
      <c r="E94" s="70" t="s">
        <v>51</v>
      </c>
      <c r="F94" s="70" t="s">
        <v>51</v>
      </c>
      <c r="G94" s="89">
        <v>0.65</v>
      </c>
      <c r="H94" s="62" t="s">
        <v>638</v>
      </c>
      <c r="I94" s="62">
        <v>1</v>
      </c>
      <c r="J94" s="90">
        <f>400/124</f>
        <v>3.225806451612903</v>
      </c>
      <c r="K94" s="13">
        <f t="shared" si="1"/>
        <v>0.20150000000000001</v>
      </c>
      <c r="L94" s="7" t="s">
        <v>814</v>
      </c>
      <c r="M94" s="39" t="s">
        <v>1057</v>
      </c>
      <c r="N94" s="39"/>
      <c r="O94"/>
      <c r="P94"/>
      <c r="Q94"/>
      <c r="R94"/>
      <c r="S94"/>
      <c r="T94"/>
      <c r="U94"/>
      <c r="V94"/>
    </row>
    <row r="95" spans="1:22" s="70" customFormat="1" x14ac:dyDescent="0.25">
      <c r="A95" s="39" t="s">
        <v>600</v>
      </c>
      <c r="B95" s="58">
        <v>1.1000000000000001</v>
      </c>
      <c r="C95" s="39" t="s">
        <v>67</v>
      </c>
      <c r="D95" s="7" t="s">
        <v>815</v>
      </c>
      <c r="E95" s="70" t="s">
        <v>51</v>
      </c>
      <c r="F95" s="70" t="s">
        <v>51</v>
      </c>
      <c r="G95" s="89">
        <v>2</v>
      </c>
      <c r="H95" s="62" t="s">
        <v>610</v>
      </c>
      <c r="I95" s="62">
        <v>1</v>
      </c>
      <c r="J95" s="90">
        <f>500/170</f>
        <v>2.9411764705882355</v>
      </c>
      <c r="K95" s="13">
        <f t="shared" si="1"/>
        <v>0.67999999999999994</v>
      </c>
      <c r="L95" s="7" t="s">
        <v>630</v>
      </c>
      <c r="M95" s="39" t="s">
        <v>1058</v>
      </c>
      <c r="N95" s="39"/>
      <c r="O95"/>
      <c r="P95"/>
      <c r="Q95"/>
      <c r="R95"/>
      <c r="S95"/>
      <c r="T95"/>
      <c r="U95"/>
      <c r="V95"/>
    </row>
    <row r="96" spans="1:22" s="70" customFormat="1" ht="22.5" x14ac:dyDescent="0.25">
      <c r="A96" s="39" t="s">
        <v>600</v>
      </c>
      <c r="B96" s="58">
        <v>1.1000000000000001</v>
      </c>
      <c r="C96" s="39" t="s">
        <v>67</v>
      </c>
      <c r="D96" s="7" t="s">
        <v>816</v>
      </c>
      <c r="E96" s="70" t="s">
        <v>817</v>
      </c>
      <c r="F96" s="70" t="s">
        <v>51</v>
      </c>
      <c r="G96" s="89">
        <v>2.4</v>
      </c>
      <c r="H96" s="62" t="s">
        <v>818</v>
      </c>
      <c r="I96" s="62">
        <v>1</v>
      </c>
      <c r="J96" s="90">
        <f>170/36</f>
        <v>4.7222222222222223</v>
      </c>
      <c r="K96" s="13">
        <f>(G96*I96)/J96</f>
        <v>0.50823529411764701</v>
      </c>
      <c r="L96" s="7" t="s">
        <v>1060</v>
      </c>
      <c r="M96" s="39" t="s">
        <v>819</v>
      </c>
      <c r="N96" s="39"/>
      <c r="O96"/>
      <c r="P96"/>
      <c r="Q96"/>
      <c r="R96"/>
      <c r="S96"/>
      <c r="T96"/>
      <c r="U96"/>
      <c r="V96"/>
    </row>
    <row r="97" spans="1:25" s="70" customFormat="1" ht="22.5" x14ac:dyDescent="0.25">
      <c r="A97" s="39" t="s">
        <v>600</v>
      </c>
      <c r="B97" s="58">
        <v>1.1000000000000001</v>
      </c>
      <c r="C97" s="39" t="s">
        <v>67</v>
      </c>
      <c r="D97" s="7" t="s">
        <v>820</v>
      </c>
      <c r="E97" s="70" t="s">
        <v>1063</v>
      </c>
      <c r="F97" s="70" t="s">
        <v>51</v>
      </c>
      <c r="G97" s="89">
        <v>2.5</v>
      </c>
      <c r="H97" s="62" t="s">
        <v>1062</v>
      </c>
      <c r="I97" s="62">
        <v>1</v>
      </c>
      <c r="J97" s="90">
        <v>5</v>
      </c>
      <c r="K97" s="13">
        <f t="shared" si="1"/>
        <v>0.5</v>
      </c>
      <c r="L97" s="7" t="s">
        <v>1061</v>
      </c>
      <c r="M97" s="39" t="s">
        <v>1059</v>
      </c>
      <c r="N97" s="39"/>
      <c r="O97"/>
      <c r="P97"/>
      <c r="Q97"/>
      <c r="R97"/>
      <c r="S97"/>
      <c r="T97"/>
      <c r="U97"/>
      <c r="V97"/>
    </row>
    <row r="98" spans="1:25" s="70" customFormat="1" x14ac:dyDescent="0.25">
      <c r="A98" s="39" t="s">
        <v>600</v>
      </c>
      <c r="B98" s="58">
        <v>1.1000000000000001</v>
      </c>
      <c r="C98" s="39" t="s">
        <v>67</v>
      </c>
      <c r="D98" s="7" t="s">
        <v>658</v>
      </c>
      <c r="E98" s="70" t="s">
        <v>1066</v>
      </c>
      <c r="F98" s="70" t="s">
        <v>51</v>
      </c>
      <c r="G98" s="89">
        <v>3.8</v>
      </c>
      <c r="H98" s="62" t="s">
        <v>1065</v>
      </c>
      <c r="I98" s="62">
        <v>1</v>
      </c>
      <c r="J98" s="90">
        <f>230/10</f>
        <v>23</v>
      </c>
      <c r="K98" s="13">
        <f t="shared" si="1"/>
        <v>0.16521739130434782</v>
      </c>
      <c r="L98" s="7" t="s">
        <v>821</v>
      </c>
      <c r="M98" s="39" t="s">
        <v>1064</v>
      </c>
      <c r="N98" s="39"/>
      <c r="O98"/>
      <c r="P98"/>
      <c r="Q98"/>
      <c r="R98"/>
      <c r="S98"/>
      <c r="T98"/>
      <c r="U98"/>
      <c r="V98"/>
    </row>
    <row r="99" spans="1:25" s="70" customFormat="1" ht="22.5" x14ac:dyDescent="0.25">
      <c r="A99" s="39" t="s">
        <v>600</v>
      </c>
      <c r="B99" s="58">
        <v>1.1000000000000001</v>
      </c>
      <c r="C99" s="39" t="s">
        <v>67</v>
      </c>
      <c r="D99" s="7" t="s">
        <v>822</v>
      </c>
      <c r="E99" s="70" t="s">
        <v>51</v>
      </c>
      <c r="F99" s="70" t="s">
        <v>51</v>
      </c>
      <c r="G99" s="89">
        <v>1.8</v>
      </c>
      <c r="H99" s="62" t="s">
        <v>608</v>
      </c>
      <c r="I99" s="62">
        <v>1</v>
      </c>
      <c r="J99" s="90">
        <f>220/60</f>
        <v>3.6666666666666665</v>
      </c>
      <c r="K99" s="13">
        <f t="shared" si="1"/>
        <v>0.49090909090909096</v>
      </c>
      <c r="L99" s="7" t="s">
        <v>627</v>
      </c>
      <c r="M99" s="39" t="s">
        <v>1067</v>
      </c>
      <c r="N99" s="39"/>
      <c r="O99"/>
      <c r="P99"/>
      <c r="Q99"/>
      <c r="R99"/>
      <c r="S99"/>
      <c r="T99"/>
      <c r="U99"/>
      <c r="V99"/>
    </row>
    <row r="100" spans="1:25" s="70" customFormat="1" ht="19.5" customHeight="1" x14ac:dyDescent="0.25">
      <c r="A100" s="39" t="s">
        <v>600</v>
      </c>
      <c r="B100" s="58">
        <v>1.1000000000000001</v>
      </c>
      <c r="C100" s="39" t="s">
        <v>67</v>
      </c>
      <c r="D100" s="7" t="s">
        <v>631</v>
      </c>
      <c r="E100" s="70" t="s">
        <v>51</v>
      </c>
      <c r="F100" s="70" t="s">
        <v>51</v>
      </c>
      <c r="G100" s="89">
        <v>1.3</v>
      </c>
      <c r="H100" s="62" t="s">
        <v>626</v>
      </c>
      <c r="I100" s="62">
        <v>1</v>
      </c>
      <c r="J100" s="90">
        <v>6</v>
      </c>
      <c r="K100" s="13">
        <f t="shared" si="1"/>
        <v>0.21666666666666667</v>
      </c>
      <c r="L100" s="7" t="s">
        <v>619</v>
      </c>
      <c r="M100" s="39" t="s">
        <v>1068</v>
      </c>
      <c r="N100" s="39"/>
      <c r="O100"/>
      <c r="P100"/>
      <c r="Q100"/>
      <c r="R100"/>
      <c r="S100"/>
      <c r="T100"/>
      <c r="U100"/>
      <c r="V100"/>
    </row>
    <row r="101" spans="1:25" s="70" customFormat="1" ht="22.5" x14ac:dyDescent="0.25">
      <c r="A101" s="39" t="s">
        <v>600</v>
      </c>
      <c r="B101" s="58">
        <v>1.1000000000000001</v>
      </c>
      <c r="C101" s="39" t="s">
        <v>67</v>
      </c>
      <c r="D101" s="7" t="s">
        <v>823</v>
      </c>
      <c r="E101" s="70" t="s">
        <v>1070</v>
      </c>
      <c r="F101" s="70" t="s">
        <v>51</v>
      </c>
      <c r="G101" s="89">
        <v>3.75</v>
      </c>
      <c r="H101" s="62" t="s">
        <v>661</v>
      </c>
      <c r="I101" s="62">
        <v>1</v>
      </c>
      <c r="J101" s="90">
        <f>900/150</f>
        <v>6</v>
      </c>
      <c r="K101" s="13">
        <f t="shared" si="1"/>
        <v>0.625</v>
      </c>
      <c r="L101" s="7" t="s">
        <v>619</v>
      </c>
      <c r="M101" s="39" t="s">
        <v>1069</v>
      </c>
      <c r="N101" s="39"/>
      <c r="O101"/>
      <c r="P101"/>
      <c r="Q101"/>
      <c r="R101"/>
      <c r="S101"/>
      <c r="T101"/>
      <c r="U101"/>
      <c r="V101"/>
    </row>
    <row r="102" spans="1:25" s="70" customFormat="1" ht="13.5" customHeight="1" x14ac:dyDescent="0.25">
      <c r="A102" s="39" t="s">
        <v>600</v>
      </c>
      <c r="B102" s="58">
        <v>1.1000000000000001</v>
      </c>
      <c r="C102" s="39" t="s">
        <v>67</v>
      </c>
      <c r="D102" s="7" t="s">
        <v>824</v>
      </c>
      <c r="E102" s="70" t="s">
        <v>28</v>
      </c>
      <c r="F102" s="70" t="s">
        <v>51</v>
      </c>
      <c r="G102" s="89">
        <v>2.5</v>
      </c>
      <c r="H102" s="62" t="s">
        <v>610</v>
      </c>
      <c r="I102" s="62">
        <v>1</v>
      </c>
      <c r="J102" s="90">
        <f>500/250</f>
        <v>2</v>
      </c>
      <c r="K102" s="13">
        <f t="shared" si="1"/>
        <v>1.25</v>
      </c>
      <c r="L102" s="7" t="s">
        <v>652</v>
      </c>
      <c r="M102" s="39" t="s">
        <v>1071</v>
      </c>
      <c r="N102" s="39"/>
      <c r="O102"/>
      <c r="P102"/>
      <c r="Q102"/>
      <c r="R102"/>
      <c r="S102"/>
      <c r="T102"/>
      <c r="U102"/>
      <c r="V102"/>
    </row>
    <row r="103" spans="1:25" s="70" customFormat="1" ht="16.5" customHeight="1" x14ac:dyDescent="0.25">
      <c r="A103" s="39" t="s">
        <v>600</v>
      </c>
      <c r="B103" s="58">
        <v>1.1000000000000001</v>
      </c>
      <c r="C103" s="39" t="s">
        <v>67</v>
      </c>
      <c r="D103" s="7" t="s">
        <v>825</v>
      </c>
      <c r="E103" s="70" t="s">
        <v>28</v>
      </c>
      <c r="F103" s="70" t="s">
        <v>51</v>
      </c>
      <c r="G103" s="89">
        <v>3</v>
      </c>
      <c r="H103" s="62" t="s">
        <v>603</v>
      </c>
      <c r="I103" s="62">
        <v>1</v>
      </c>
      <c r="J103" s="90">
        <f>200/60</f>
        <v>3.3333333333333335</v>
      </c>
      <c r="K103" s="13">
        <f t="shared" si="1"/>
        <v>0.89999999999999991</v>
      </c>
      <c r="L103" s="7" t="s">
        <v>627</v>
      </c>
      <c r="M103" s="39" t="s">
        <v>1072</v>
      </c>
      <c r="N103" s="39"/>
      <c r="O103"/>
      <c r="P103"/>
      <c r="Q103"/>
      <c r="R103"/>
      <c r="S103"/>
      <c r="T103"/>
      <c r="U103"/>
      <c r="V103"/>
    </row>
    <row r="104" spans="1:25" s="50" customFormat="1" ht="17.25" customHeight="1" x14ac:dyDescent="0.25">
      <c r="A104" s="6" t="s">
        <v>600</v>
      </c>
      <c r="B104" s="6">
        <v>1.1000000000000001</v>
      </c>
      <c r="C104" s="39" t="s">
        <v>67</v>
      </c>
      <c r="D104" s="7" t="s">
        <v>645</v>
      </c>
      <c r="E104" s="7"/>
      <c r="F104" s="70" t="s">
        <v>51</v>
      </c>
      <c r="G104" s="13">
        <v>80</v>
      </c>
      <c r="H104" s="35"/>
      <c r="I104" s="35">
        <v>1</v>
      </c>
      <c r="J104" s="34">
        <v>52.14</v>
      </c>
      <c r="K104" s="13">
        <f>G104*I104/J104</f>
        <v>1.5343306482546988</v>
      </c>
      <c r="L104" s="7"/>
      <c r="M104" s="7" t="s">
        <v>941</v>
      </c>
      <c r="N104" s="58"/>
      <c r="O104"/>
      <c r="P104"/>
      <c r="Q104"/>
      <c r="R104"/>
      <c r="S104"/>
      <c r="T104"/>
      <c r="U104"/>
      <c r="V104"/>
    </row>
    <row r="105" spans="1:25" s="50" customFormat="1" ht="17.25" customHeight="1" x14ac:dyDescent="0.25">
      <c r="A105" s="6" t="s">
        <v>600</v>
      </c>
      <c r="B105" s="6">
        <v>1.1000000000000001</v>
      </c>
      <c r="C105" s="39" t="s">
        <v>67</v>
      </c>
      <c r="D105" s="7" t="s">
        <v>646</v>
      </c>
      <c r="E105" s="7"/>
      <c r="F105" s="6"/>
      <c r="G105" s="13">
        <v>250</v>
      </c>
      <c r="H105" s="13"/>
      <c r="I105" s="35">
        <v>1</v>
      </c>
      <c r="J105" s="34">
        <v>52.14</v>
      </c>
      <c r="K105" s="13">
        <f t="shared" ref="K105" si="2">(G105*I105)/J105</f>
        <v>4.7947832757959343</v>
      </c>
      <c r="L105" s="7"/>
      <c r="M105" s="7" t="s">
        <v>940</v>
      </c>
      <c r="N105" s="58"/>
      <c r="O105"/>
      <c r="P105"/>
      <c r="Q105"/>
      <c r="R105"/>
      <c r="S105"/>
      <c r="T105"/>
      <c r="U105"/>
      <c r="V105"/>
    </row>
    <row r="106" spans="1:25" s="6" customFormat="1" ht="20.100000000000001" customHeight="1" x14ac:dyDescent="0.25">
      <c r="A106" s="7" t="s">
        <v>647</v>
      </c>
      <c r="B106" s="7">
        <v>11.1</v>
      </c>
      <c r="C106" s="7" t="s">
        <v>67</v>
      </c>
      <c r="D106" s="7" t="s">
        <v>648</v>
      </c>
      <c r="E106" s="7"/>
      <c r="F106" s="7"/>
      <c r="G106" s="96">
        <v>40</v>
      </c>
      <c r="H106" s="97"/>
      <c r="I106" s="97">
        <v>2</v>
      </c>
      <c r="J106" s="98">
        <v>1</v>
      </c>
      <c r="K106" s="13">
        <f>(G106*I106)/J106</f>
        <v>80</v>
      </c>
      <c r="L106" s="7"/>
      <c r="M106" s="7" t="s">
        <v>938</v>
      </c>
      <c r="N106" s="7"/>
      <c r="O106"/>
      <c r="P106"/>
      <c r="Q106"/>
      <c r="R106"/>
      <c r="S106"/>
      <c r="T106"/>
      <c r="U106"/>
      <c r="V106"/>
    </row>
    <row r="107" spans="1:25" s="6" customFormat="1" ht="17.100000000000001" customHeight="1" x14ac:dyDescent="0.25">
      <c r="A107" s="7" t="s">
        <v>647</v>
      </c>
      <c r="B107" s="7">
        <v>11.1</v>
      </c>
      <c r="C107" s="7" t="s">
        <v>67</v>
      </c>
      <c r="D107" s="7" t="s">
        <v>649</v>
      </c>
      <c r="E107" s="7"/>
      <c r="F107" s="7"/>
      <c r="G107" s="96">
        <v>30</v>
      </c>
      <c r="H107" s="97"/>
      <c r="I107" s="97">
        <v>1</v>
      </c>
      <c r="J107" s="98">
        <v>1</v>
      </c>
      <c r="K107" s="13">
        <f>(G107*I107)/J107</f>
        <v>30</v>
      </c>
      <c r="L107" s="7"/>
      <c r="M107" s="99" t="s">
        <v>939</v>
      </c>
      <c r="N107" s="7"/>
      <c r="O107"/>
      <c r="P107"/>
      <c r="Q107"/>
      <c r="R107"/>
      <c r="S107"/>
      <c r="T107"/>
      <c r="U107"/>
      <c r="V107"/>
    </row>
    <row r="108" spans="1:25" ht="33.75" x14ac:dyDescent="0.25">
      <c r="A108" s="7" t="s">
        <v>647</v>
      </c>
      <c r="B108" s="7">
        <v>11.1</v>
      </c>
      <c r="C108" s="7" t="s">
        <v>67</v>
      </c>
      <c r="D108" s="7" t="s">
        <v>1113</v>
      </c>
      <c r="E108" s="7"/>
      <c r="F108" s="7"/>
      <c r="G108" s="96">
        <v>100</v>
      </c>
      <c r="H108" s="97"/>
      <c r="I108" s="97">
        <v>1</v>
      </c>
      <c r="J108" s="98">
        <f>365/84</f>
        <v>4.3452380952380949</v>
      </c>
      <c r="K108" s="13">
        <f>(G108*I108)/J108</f>
        <v>23.013698630136989</v>
      </c>
      <c r="L108" s="7"/>
      <c r="M108" s="99" t="s">
        <v>1114</v>
      </c>
      <c r="N108" s="81"/>
      <c r="O108" s="81"/>
      <c r="P108" s="81"/>
      <c r="Q108" s="58"/>
      <c r="W108"/>
      <c r="X108"/>
      <c r="Y108"/>
    </row>
    <row r="110" spans="1:25" x14ac:dyDescent="0.25">
      <c r="D110" s="58" t="s">
        <v>882</v>
      </c>
      <c r="E110" s="100">
        <f>SUM(K5:K105)</f>
        <v>130.6534793316435</v>
      </c>
    </row>
    <row r="111" spans="1:25" x14ac:dyDescent="0.25">
      <c r="D111" s="58" t="s">
        <v>883</v>
      </c>
      <c r="E111" s="100">
        <f>SUM(K106:K108)</f>
        <v>133.01369863013699</v>
      </c>
    </row>
  </sheetData>
  <phoneticPr fontId="23" type="noConversion"/>
  <printOptions gridLines="1"/>
  <pageMargins left="0.7" right="0.7" top="0.75" bottom="0.75" header="0.3" footer="0.3"/>
  <pageSetup paperSize="9" scale="2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C3ED4-2403-4F7A-8071-D658FF4F1BF5}">
  <dimension ref="A1:M9"/>
  <sheetViews>
    <sheetView view="pageBreakPreview" zoomScale="109" zoomScaleNormal="100" workbookViewId="0"/>
  </sheetViews>
  <sheetFormatPr defaultColWidth="9.140625" defaultRowHeight="15" x14ac:dyDescent="0.25"/>
  <cols>
    <col min="1" max="1" width="6.42578125" customWidth="1"/>
    <col min="2" max="2" width="6.85546875" customWidth="1"/>
    <col min="3" max="3" width="6.28515625" customWidth="1"/>
    <col min="5" max="5" width="14.42578125" customWidth="1"/>
    <col min="6" max="6" width="13" customWidth="1"/>
    <col min="7" max="8" width="7.140625" customWidth="1"/>
    <col min="9" max="9" width="7.85546875" customWidth="1"/>
    <col min="10" max="10" width="8.140625" customWidth="1"/>
    <col min="11" max="11" width="7.42578125" customWidth="1"/>
    <col min="12" max="12" width="24.28515625" customWidth="1"/>
    <col min="13" max="13" width="25.42578125" style="107" customWidth="1"/>
  </cols>
  <sheetData>
    <row r="1" spans="1:13" ht="15.75" x14ac:dyDescent="0.25">
      <c r="A1" s="2" t="s">
        <v>1368</v>
      </c>
      <c r="B1" s="16"/>
      <c r="C1" s="6"/>
      <c r="D1" s="6"/>
      <c r="E1" s="6"/>
      <c r="F1" s="6"/>
      <c r="G1" s="6"/>
      <c r="H1" s="6"/>
      <c r="I1" s="6"/>
      <c r="J1" s="6"/>
      <c r="K1" s="6"/>
      <c r="L1" s="7"/>
      <c r="M1" s="7"/>
    </row>
    <row r="2" spans="1:13" x14ac:dyDescent="0.25">
      <c r="A2" s="21" t="s">
        <v>826</v>
      </c>
      <c r="B2" s="21"/>
      <c r="C2" s="26"/>
      <c r="D2" s="28"/>
      <c r="E2" s="28"/>
      <c r="F2" s="28"/>
      <c r="G2" s="28"/>
      <c r="H2" s="28"/>
      <c r="I2" s="28"/>
      <c r="J2" s="28"/>
      <c r="K2" s="28"/>
      <c r="L2" s="28"/>
      <c r="M2" s="101"/>
    </row>
    <row r="3" spans="1:13" x14ac:dyDescent="0.25">
      <c r="A3" s="21" t="s">
        <v>844</v>
      </c>
      <c r="B3" s="21"/>
      <c r="C3" s="28"/>
      <c r="D3" s="28"/>
      <c r="E3" s="28"/>
      <c r="F3" s="28"/>
      <c r="G3" s="28"/>
      <c r="H3" s="28"/>
      <c r="I3" s="28"/>
      <c r="J3" s="102"/>
      <c r="K3" s="28"/>
      <c r="L3" s="28"/>
      <c r="M3" s="28"/>
    </row>
    <row r="4" spans="1:13" ht="22.5" x14ac:dyDescent="0.25">
      <c r="A4" s="25" t="s">
        <v>0</v>
      </c>
      <c r="B4" s="25" t="s">
        <v>1</v>
      </c>
      <c r="C4" s="25" t="s">
        <v>2</v>
      </c>
      <c r="D4" s="25" t="s">
        <v>4</v>
      </c>
      <c r="E4" s="25" t="s">
        <v>5</v>
      </c>
      <c r="F4" s="25" t="s">
        <v>6</v>
      </c>
      <c r="G4" s="85" t="s">
        <v>7</v>
      </c>
      <c r="H4" s="85" t="s">
        <v>8</v>
      </c>
      <c r="I4" s="25" t="s">
        <v>9</v>
      </c>
      <c r="J4" s="26" t="s">
        <v>10</v>
      </c>
      <c r="K4" s="85" t="s">
        <v>46</v>
      </c>
      <c r="L4" s="85" t="s">
        <v>12</v>
      </c>
      <c r="M4" s="25" t="s">
        <v>13</v>
      </c>
    </row>
    <row r="5" spans="1:13" s="70" customFormat="1" ht="26.1" customHeight="1" x14ac:dyDescent="0.2">
      <c r="A5" s="39" t="s">
        <v>827</v>
      </c>
      <c r="B5" s="58">
        <v>2.1</v>
      </c>
      <c r="C5" s="39" t="s">
        <v>67</v>
      </c>
      <c r="D5" s="7" t="s">
        <v>1074</v>
      </c>
      <c r="E5" s="103" t="s">
        <v>1079</v>
      </c>
      <c r="F5" s="49" t="s">
        <v>51</v>
      </c>
      <c r="G5" s="104">
        <v>19.5</v>
      </c>
      <c r="H5" s="49">
        <v>10</v>
      </c>
      <c r="I5" s="49">
        <v>1</v>
      </c>
      <c r="J5" s="64">
        <f>10/3</f>
        <v>3.3333333333333335</v>
      </c>
      <c r="K5" s="64">
        <f>G5*I5/J5</f>
        <v>5.85</v>
      </c>
      <c r="L5" s="103" t="s">
        <v>1075</v>
      </c>
      <c r="M5" s="103" t="s">
        <v>1076</v>
      </c>
    </row>
    <row r="6" spans="1:13" ht="27.95" customHeight="1" x14ac:dyDescent="0.25">
      <c r="A6" s="39" t="s">
        <v>827</v>
      </c>
      <c r="B6" s="58">
        <v>2.1</v>
      </c>
      <c r="C6" s="39" t="s">
        <v>67</v>
      </c>
      <c r="D6" s="7" t="s">
        <v>1077</v>
      </c>
      <c r="E6" s="7"/>
      <c r="F6" s="49" t="s">
        <v>51</v>
      </c>
      <c r="G6" s="104">
        <v>10.5</v>
      </c>
      <c r="H6" s="49">
        <v>1</v>
      </c>
      <c r="I6" s="49">
        <v>1</v>
      </c>
      <c r="J6" s="64">
        <v>1</v>
      </c>
      <c r="K6" s="64">
        <f>G6*I6/J6</f>
        <v>10.5</v>
      </c>
      <c r="L6" s="103" t="s">
        <v>1081</v>
      </c>
      <c r="M6" s="39" t="s">
        <v>1080</v>
      </c>
    </row>
    <row r="7" spans="1:13" ht="30.95" customHeight="1" x14ac:dyDescent="0.25">
      <c r="A7" s="39" t="s">
        <v>827</v>
      </c>
      <c r="B7" s="58">
        <v>2.1</v>
      </c>
      <c r="C7" s="39" t="s">
        <v>67</v>
      </c>
      <c r="D7" s="7" t="s">
        <v>1078</v>
      </c>
      <c r="E7" s="29"/>
      <c r="F7" s="49" t="s">
        <v>51</v>
      </c>
      <c r="G7" s="105">
        <v>10.5</v>
      </c>
      <c r="H7" s="49">
        <v>1</v>
      </c>
      <c r="I7" s="49">
        <v>1</v>
      </c>
      <c r="J7" s="64">
        <v>1</v>
      </c>
      <c r="K7" s="64">
        <f>G7*I7/J7</f>
        <v>10.5</v>
      </c>
      <c r="L7" s="103" t="s">
        <v>1081</v>
      </c>
      <c r="M7" s="29" t="s">
        <v>1082</v>
      </c>
    </row>
    <row r="8" spans="1:13" x14ac:dyDescent="0.25">
      <c r="A8" s="26"/>
      <c r="B8" s="26"/>
      <c r="D8" s="64" t="s">
        <v>884</v>
      </c>
      <c r="E8" s="26"/>
      <c r="F8" s="106">
        <f>SUM(K5:K7)</f>
        <v>26.85</v>
      </c>
      <c r="G8" s="28"/>
      <c r="H8" s="28"/>
      <c r="I8" s="28"/>
      <c r="J8" s="28"/>
      <c r="K8" s="28"/>
      <c r="L8" s="106"/>
      <c r="M8" s="28"/>
    </row>
    <row r="9" spans="1:13" x14ac:dyDescent="0.25">
      <c r="A9" s="26"/>
      <c r="B9" s="26"/>
      <c r="D9" s="64" t="s">
        <v>885</v>
      </c>
      <c r="E9" s="27"/>
      <c r="F9" s="106"/>
      <c r="G9" s="28"/>
      <c r="H9" s="28"/>
      <c r="I9" s="28"/>
      <c r="J9" s="28"/>
      <c r="K9" s="28"/>
      <c r="L9" s="106"/>
      <c r="M9" s="28"/>
    </row>
  </sheetData>
  <phoneticPr fontId="23" type="noConversion"/>
  <printOptions gridLines="1"/>
  <pageMargins left="0.7" right="0.7" top="0.75" bottom="0.75" header="0.3" footer="0.3"/>
  <pageSetup paperSize="9" scale="5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66F32-03EE-4D37-8CF0-ED35E9E5BE60}">
  <dimension ref="A1:Y8"/>
  <sheetViews>
    <sheetView view="pageBreakPreview" zoomScale="109" zoomScaleNormal="115" zoomScaleSheetLayoutView="100" workbookViewId="0"/>
  </sheetViews>
  <sheetFormatPr defaultColWidth="9.140625" defaultRowHeight="15" x14ac:dyDescent="0.25"/>
  <cols>
    <col min="1" max="1" width="5.42578125" style="28" customWidth="1"/>
    <col min="2" max="2" width="7.28515625" style="28" customWidth="1"/>
    <col min="3" max="3" width="6.28515625" style="28" customWidth="1"/>
    <col min="4" max="4" width="14.7109375" style="28" customWidth="1"/>
    <col min="5" max="5" width="19.7109375" style="28" customWidth="1"/>
    <col min="6" max="6" width="11.42578125" style="28" customWidth="1"/>
    <col min="7" max="8" width="7.42578125" style="28" bestFit="1" customWidth="1"/>
    <col min="9" max="10" width="7.7109375" style="28" customWidth="1"/>
    <col min="11" max="11" width="6.42578125" style="28" customWidth="1"/>
    <col min="12" max="13" width="30.42578125" style="28" customWidth="1"/>
    <col min="14" max="14" width="34.42578125" customWidth="1"/>
    <col min="26" max="16384" width="9.140625" style="28"/>
  </cols>
  <sheetData>
    <row r="1" spans="1:25" s="108" customFormat="1" ht="15.75" x14ac:dyDescent="0.25">
      <c r="A1" s="2" t="s">
        <v>1368</v>
      </c>
      <c r="B1" s="21"/>
      <c r="E1" s="28"/>
      <c r="N1"/>
      <c r="O1"/>
      <c r="P1"/>
      <c r="Q1"/>
      <c r="R1"/>
      <c r="S1"/>
      <c r="T1"/>
      <c r="U1"/>
      <c r="V1"/>
      <c r="W1"/>
      <c r="X1"/>
      <c r="Y1"/>
    </row>
    <row r="2" spans="1:25" s="108" customFormat="1" x14ac:dyDescent="0.25">
      <c r="A2" s="21" t="s">
        <v>45</v>
      </c>
      <c r="B2" s="21"/>
      <c r="E2" s="28"/>
      <c r="N2"/>
      <c r="O2"/>
      <c r="P2"/>
      <c r="Q2"/>
      <c r="R2"/>
      <c r="S2"/>
      <c r="T2"/>
      <c r="U2"/>
      <c r="V2"/>
      <c r="W2"/>
      <c r="X2"/>
      <c r="Y2"/>
    </row>
    <row r="3" spans="1:25" s="108" customFormat="1" x14ac:dyDescent="0.25">
      <c r="A3" s="21" t="s">
        <v>844</v>
      </c>
      <c r="B3" s="21"/>
      <c r="E3" s="28"/>
      <c r="N3"/>
      <c r="O3"/>
      <c r="P3"/>
      <c r="Q3"/>
      <c r="R3"/>
      <c r="S3"/>
      <c r="T3"/>
      <c r="U3"/>
      <c r="V3"/>
      <c r="W3"/>
      <c r="X3"/>
      <c r="Y3"/>
    </row>
    <row r="4" spans="1:25" s="22" customFormat="1" ht="33.75" x14ac:dyDescent="0.25">
      <c r="A4" s="22" t="s">
        <v>0</v>
      </c>
      <c r="B4" s="22" t="s">
        <v>1</v>
      </c>
      <c r="C4" s="22" t="s">
        <v>2</v>
      </c>
      <c r="D4" s="22" t="s">
        <v>3</v>
      </c>
      <c r="E4" s="22" t="s">
        <v>4</v>
      </c>
      <c r="F4" s="22" t="s">
        <v>6</v>
      </c>
      <c r="G4" s="23" t="s">
        <v>7</v>
      </c>
      <c r="H4" s="23" t="s">
        <v>8</v>
      </c>
      <c r="I4" s="22" t="s">
        <v>9</v>
      </c>
      <c r="J4" s="22" t="s">
        <v>10</v>
      </c>
      <c r="K4" s="23" t="s">
        <v>46</v>
      </c>
      <c r="L4" s="23" t="s">
        <v>47</v>
      </c>
      <c r="M4" s="23" t="s">
        <v>13</v>
      </c>
      <c r="N4"/>
      <c r="O4"/>
      <c r="P4"/>
      <c r="Q4"/>
      <c r="R4"/>
      <c r="S4"/>
      <c r="T4"/>
      <c r="U4"/>
      <c r="V4"/>
      <c r="W4"/>
      <c r="X4"/>
      <c r="Y4"/>
    </row>
    <row r="5" spans="1:25" s="109" customFormat="1" ht="22.5" x14ac:dyDescent="0.25">
      <c r="A5" s="29" t="s">
        <v>48</v>
      </c>
      <c r="B5" s="29">
        <v>3.1</v>
      </c>
      <c r="C5" s="28" t="s">
        <v>901</v>
      </c>
      <c r="D5" s="29"/>
      <c r="E5" s="29" t="s">
        <v>902</v>
      </c>
      <c r="F5" s="31"/>
      <c r="G5" s="30">
        <v>1500</v>
      </c>
      <c r="H5" s="32"/>
      <c r="I5" s="32">
        <v>1</v>
      </c>
      <c r="J5" s="33">
        <f>365/7</f>
        <v>52.142857142857146</v>
      </c>
      <c r="K5" s="30">
        <f>G5*I5/J5</f>
        <v>28.767123287671232</v>
      </c>
      <c r="L5" s="29"/>
      <c r="M5" s="10" t="s">
        <v>903</v>
      </c>
      <c r="N5"/>
      <c r="O5"/>
      <c r="P5"/>
      <c r="Q5"/>
      <c r="R5"/>
      <c r="S5"/>
      <c r="T5"/>
      <c r="U5"/>
      <c r="V5"/>
      <c r="W5"/>
      <c r="X5"/>
      <c r="Y5"/>
    </row>
    <row r="6" spans="1:25" s="109" customFormat="1" ht="22.5" x14ac:dyDescent="0.25">
      <c r="A6" s="29" t="s">
        <v>48</v>
      </c>
      <c r="B6" s="29">
        <v>3.1</v>
      </c>
      <c r="C6" s="28" t="s">
        <v>904</v>
      </c>
      <c r="D6" s="29"/>
      <c r="E6" s="29" t="s">
        <v>902</v>
      </c>
      <c r="F6" s="31"/>
      <c r="G6" s="30">
        <v>1000</v>
      </c>
      <c r="H6" s="32"/>
      <c r="I6" s="32">
        <v>1</v>
      </c>
      <c r="J6" s="33">
        <f>365/7</f>
        <v>52.142857142857146</v>
      </c>
      <c r="K6" s="30">
        <f>G6*I6/J6</f>
        <v>19.17808219178082</v>
      </c>
      <c r="L6" s="29"/>
      <c r="M6" s="29" t="s">
        <v>905</v>
      </c>
      <c r="N6"/>
      <c r="O6"/>
      <c r="P6"/>
      <c r="Q6"/>
      <c r="R6"/>
      <c r="S6"/>
      <c r="T6"/>
      <c r="U6"/>
      <c r="V6"/>
      <c r="W6"/>
      <c r="X6"/>
      <c r="Y6"/>
    </row>
    <row r="8" spans="1:25" x14ac:dyDescent="0.25">
      <c r="D8" s="70" t="s">
        <v>886</v>
      </c>
      <c r="E8" s="106">
        <f>SUM(K5:K6)</f>
        <v>47.945205479452056</v>
      </c>
    </row>
  </sheetData>
  <printOptions gridLines="1"/>
  <pageMargins left="0.7" right="0.7" top="0.75" bottom="0.75" header="0.3" footer="0.3"/>
  <pageSetup paperSize="9" scale="7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B82E1-61F1-42C0-AB40-D4699D69E2A5}">
  <dimension ref="A1:Z18"/>
  <sheetViews>
    <sheetView view="pageBreakPreview" zoomScale="85" zoomScaleNormal="115" zoomScaleSheetLayoutView="85" workbookViewId="0"/>
  </sheetViews>
  <sheetFormatPr defaultColWidth="8.7109375" defaultRowHeight="15" x14ac:dyDescent="0.25"/>
  <cols>
    <col min="1" max="3" width="8.7109375" style="39"/>
    <col min="4" max="4" width="12.42578125" style="39" customWidth="1"/>
    <col min="5" max="5" width="18.7109375" style="39" customWidth="1"/>
    <col min="6" max="6" width="7.140625" style="39" customWidth="1"/>
    <col min="7" max="7" width="7" style="39" customWidth="1"/>
    <col min="8" max="8" width="7.42578125" style="39" customWidth="1"/>
    <col min="9" max="9" width="7" style="39" customWidth="1"/>
    <col min="10" max="10" width="24.42578125" style="39" customWidth="1"/>
    <col min="11" max="11" width="38" style="39" customWidth="1"/>
    <col min="27" max="16384" width="8.7109375" style="39"/>
  </cols>
  <sheetData>
    <row r="1" spans="1:26" ht="12" customHeight="1" x14ac:dyDescent="0.25">
      <c r="A1" s="2" t="s">
        <v>1368</v>
      </c>
      <c r="B1" s="65"/>
      <c r="C1" s="66"/>
    </row>
    <row r="2" spans="1:26" ht="12" customHeight="1" x14ac:dyDescent="0.25">
      <c r="A2" s="65" t="s">
        <v>54</v>
      </c>
      <c r="B2" s="65"/>
      <c r="C2" s="66"/>
    </row>
    <row r="3" spans="1:26" ht="12.75" customHeight="1" x14ac:dyDescent="0.25">
      <c r="A3" s="65" t="s">
        <v>844</v>
      </c>
      <c r="B3" s="65"/>
      <c r="C3" s="66"/>
    </row>
    <row r="4" spans="1:26" ht="45" x14ac:dyDescent="0.25">
      <c r="A4" s="67" t="s">
        <v>0</v>
      </c>
      <c r="B4" s="67" t="s">
        <v>1</v>
      </c>
      <c r="C4" s="67" t="s">
        <v>2</v>
      </c>
      <c r="D4" s="22" t="s">
        <v>3</v>
      </c>
      <c r="E4" s="22" t="s">
        <v>4</v>
      </c>
      <c r="F4" s="23" t="s">
        <v>7</v>
      </c>
      <c r="G4" s="22" t="s">
        <v>9</v>
      </c>
      <c r="H4" s="22" t="s">
        <v>10</v>
      </c>
      <c r="I4" s="23" t="s">
        <v>46</v>
      </c>
      <c r="J4" s="23" t="s">
        <v>12</v>
      </c>
      <c r="K4" s="22" t="s">
        <v>13</v>
      </c>
    </row>
    <row r="5" spans="1:26" s="72" customFormat="1" ht="20.100000000000001" customHeight="1" x14ac:dyDescent="0.25">
      <c r="A5" s="68" t="s">
        <v>55</v>
      </c>
      <c r="B5" s="69">
        <v>4.3</v>
      </c>
      <c r="C5" s="70" t="s">
        <v>67</v>
      </c>
      <c r="D5" s="71" t="s">
        <v>56</v>
      </c>
      <c r="E5" s="72" t="s">
        <v>56</v>
      </c>
      <c r="F5" s="73">
        <f>9.71*(365/7)</f>
        <v>506.30714285714294</v>
      </c>
      <c r="G5" s="74">
        <v>1</v>
      </c>
      <c r="H5" s="75">
        <f>365/7</f>
        <v>52.142857142857146</v>
      </c>
      <c r="I5" s="9">
        <f t="shared" ref="I5:I10" si="0">G5*F5/H5</f>
        <v>9.7100000000000009</v>
      </c>
      <c r="J5" s="71"/>
      <c r="K5" s="71"/>
      <c r="L5"/>
      <c r="M5"/>
      <c r="N5"/>
      <c r="O5"/>
      <c r="P5"/>
      <c r="Q5"/>
      <c r="R5"/>
      <c r="S5"/>
      <c r="T5"/>
      <c r="U5"/>
      <c r="V5"/>
      <c r="W5"/>
      <c r="X5"/>
      <c r="Y5"/>
      <c r="Z5"/>
    </row>
    <row r="6" spans="1:26" ht="15" customHeight="1" x14ac:dyDescent="0.25">
      <c r="A6" s="68" t="s">
        <v>57</v>
      </c>
      <c r="B6" s="69" t="s">
        <v>58</v>
      </c>
      <c r="C6" s="70" t="s">
        <v>67</v>
      </c>
      <c r="D6" s="71" t="s">
        <v>59</v>
      </c>
      <c r="E6" s="72" t="s">
        <v>59</v>
      </c>
      <c r="F6" s="73">
        <v>1921.16</v>
      </c>
      <c r="G6" s="74">
        <v>1</v>
      </c>
      <c r="H6" s="75">
        <f>365/7</f>
        <v>52.142857142857146</v>
      </c>
      <c r="I6" s="9">
        <f t="shared" si="0"/>
        <v>36.84416438356164</v>
      </c>
      <c r="J6" s="71"/>
      <c r="K6" s="18" t="s">
        <v>896</v>
      </c>
    </row>
    <row r="7" spans="1:26" ht="24.75" customHeight="1" x14ac:dyDescent="0.25">
      <c r="A7" s="68" t="s">
        <v>60</v>
      </c>
      <c r="B7" s="69">
        <v>12.5</v>
      </c>
      <c r="C7" s="70" t="s">
        <v>67</v>
      </c>
      <c r="D7" s="7" t="s">
        <v>899</v>
      </c>
      <c r="E7" s="72" t="s">
        <v>61</v>
      </c>
      <c r="F7" s="76">
        <v>18.04</v>
      </c>
      <c r="G7" s="72">
        <v>1</v>
      </c>
      <c r="H7" s="77">
        <f>365/84</f>
        <v>4.3452380952380949</v>
      </c>
      <c r="I7" s="9">
        <f t="shared" si="0"/>
        <v>4.151671232876712</v>
      </c>
      <c r="J7" s="18" t="s">
        <v>897</v>
      </c>
      <c r="K7" s="71" t="s">
        <v>898</v>
      </c>
    </row>
    <row r="8" spans="1:26" x14ac:dyDescent="0.25">
      <c r="A8" s="68" t="s">
        <v>62</v>
      </c>
      <c r="B8" s="69">
        <v>4.5</v>
      </c>
      <c r="C8" s="70" t="s">
        <v>67</v>
      </c>
      <c r="D8" s="71" t="s">
        <v>63</v>
      </c>
      <c r="E8" s="72"/>
      <c r="F8" s="76">
        <v>3219.5979467000002</v>
      </c>
      <c r="G8" s="72">
        <v>1</v>
      </c>
      <c r="H8" s="77">
        <f>365/7</f>
        <v>52.142857142857146</v>
      </c>
      <c r="I8" s="9">
        <f t="shared" si="0"/>
        <v>61.745714046301373</v>
      </c>
      <c r="J8" s="71"/>
      <c r="K8" s="71"/>
    </row>
    <row r="9" spans="1:26" ht="30" customHeight="1" x14ac:dyDescent="0.25">
      <c r="A9" s="8" t="s">
        <v>64</v>
      </c>
      <c r="B9" s="78">
        <v>4.3</v>
      </c>
      <c r="C9" s="70" t="s">
        <v>67</v>
      </c>
      <c r="D9" s="8" t="s">
        <v>65</v>
      </c>
      <c r="E9" s="79" t="s">
        <v>66</v>
      </c>
      <c r="F9" s="30">
        <v>900</v>
      </c>
      <c r="G9" s="32">
        <v>1</v>
      </c>
      <c r="H9" s="75">
        <f>365/7</f>
        <v>52.142857142857146</v>
      </c>
      <c r="I9" s="30">
        <f t="shared" si="0"/>
        <v>17.260273972602739</v>
      </c>
      <c r="J9" s="71" t="s">
        <v>900</v>
      </c>
      <c r="K9" s="72"/>
    </row>
    <row r="10" spans="1:26" ht="102.95" customHeight="1" x14ac:dyDescent="0.25">
      <c r="B10" s="58">
        <v>4.3</v>
      </c>
      <c r="C10" s="17" t="s">
        <v>931</v>
      </c>
      <c r="D10" s="17" t="s">
        <v>1115</v>
      </c>
      <c r="E10" s="18" t="s">
        <v>1116</v>
      </c>
      <c r="F10" s="39">
        <v>33.21</v>
      </c>
      <c r="G10" s="39">
        <v>1</v>
      </c>
      <c r="H10" s="40">
        <f>365/84</f>
        <v>4.3452380952380949</v>
      </c>
      <c r="I10" s="40">
        <f t="shared" si="0"/>
        <v>7.642849315068494</v>
      </c>
      <c r="J10" s="39" t="s">
        <v>1117</v>
      </c>
      <c r="K10" s="18" t="s">
        <v>1118</v>
      </c>
    </row>
    <row r="12" spans="1:26" x14ac:dyDescent="0.25">
      <c r="E12" s="64" t="s">
        <v>856</v>
      </c>
      <c r="F12" s="64">
        <v>0</v>
      </c>
      <c r="H12" s="39">
        <f>365/7</f>
        <v>52.142857142857146</v>
      </c>
      <c r="I12" s="39">
        <f>365/7</f>
        <v>52.142857142857146</v>
      </c>
    </row>
    <row r="13" spans="1:26" x14ac:dyDescent="0.25">
      <c r="E13" s="64" t="s">
        <v>857</v>
      </c>
      <c r="F13" s="49">
        <v>0</v>
      </c>
    </row>
    <row r="14" spans="1:26" x14ac:dyDescent="0.25">
      <c r="E14" s="64" t="s">
        <v>858</v>
      </c>
      <c r="F14" s="64">
        <f>I5</f>
        <v>9.7100000000000009</v>
      </c>
      <c r="H14" s="39">
        <v>221.2</v>
      </c>
      <c r="I14" s="39">
        <v>203.85</v>
      </c>
    </row>
    <row r="15" spans="1:26" x14ac:dyDescent="0.25">
      <c r="E15" s="64" t="s">
        <v>859</v>
      </c>
      <c r="F15" s="64">
        <f>I6</f>
        <v>36.84416438356164</v>
      </c>
      <c r="H15" s="39">
        <f>H14*365/7</f>
        <v>11534</v>
      </c>
      <c r="I15" s="39">
        <f>I14*365/7</f>
        <v>10629.321428571429</v>
      </c>
    </row>
    <row r="16" spans="1:26" x14ac:dyDescent="0.25">
      <c r="E16" s="64" t="s">
        <v>860</v>
      </c>
      <c r="F16" s="64">
        <f>I7</f>
        <v>4.151671232876712</v>
      </c>
      <c r="H16" s="39">
        <f>H14*52</f>
        <v>11502.4</v>
      </c>
      <c r="I16" s="39">
        <f>I14*52</f>
        <v>10600.199999999999</v>
      </c>
    </row>
    <row r="17" spans="5:6" x14ac:dyDescent="0.25">
      <c r="E17" s="64" t="s">
        <v>861</v>
      </c>
      <c r="F17" s="64">
        <f>I8</f>
        <v>61.745714046301373</v>
      </c>
    </row>
    <row r="18" spans="5:6" x14ac:dyDescent="0.25">
      <c r="E18" s="64" t="s">
        <v>862</v>
      </c>
      <c r="F18" s="64">
        <f>I9+I10</f>
        <v>24.903123287671235</v>
      </c>
    </row>
  </sheetData>
  <conditionalFormatting sqref="M181:T181">
    <cfRule type="cellIs" priority="2" operator="equal">
      <formula>0</formula>
    </cfRule>
  </conditionalFormatting>
  <conditionalFormatting sqref="M283:T284">
    <cfRule type="cellIs" dxfId="0" priority="1" operator="equal">
      <formula>0</formula>
    </cfRule>
  </conditionalFormatting>
  <printOptions gridLines="1"/>
  <pageMargins left="0.7" right="0.7" top="0.75" bottom="0.75" header="0.3" footer="0.3"/>
  <pageSetup paperSize="9" scale="7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9AABE-85CA-4BDA-A52A-06FF18D33B7B}">
  <dimension ref="A1:W223"/>
  <sheetViews>
    <sheetView view="pageBreakPreview" zoomScaleNormal="115" zoomScaleSheetLayoutView="115" workbookViewId="0"/>
  </sheetViews>
  <sheetFormatPr defaultColWidth="8.85546875" defaultRowHeight="15" x14ac:dyDescent="0.25"/>
  <cols>
    <col min="1" max="1" width="5.42578125" customWidth="1"/>
    <col min="2" max="2" width="7.42578125" customWidth="1"/>
    <col min="3" max="3" width="6.42578125" customWidth="1"/>
    <col min="4" max="4" width="12.85546875" customWidth="1"/>
    <col min="5" max="5" width="13.140625" customWidth="1"/>
    <col min="6" max="6" width="10.7109375" customWidth="1"/>
    <col min="7" max="7" width="6.42578125" customWidth="1"/>
    <col min="8" max="8" width="5.42578125" customWidth="1"/>
    <col min="9" max="9" width="8" customWidth="1"/>
    <col min="10" max="10" width="8.28515625" customWidth="1"/>
    <col min="11" max="11" width="6.42578125" customWidth="1"/>
    <col min="12" max="12" width="28.7109375" customWidth="1"/>
    <col min="13" max="13" width="30.7109375" customWidth="1"/>
    <col min="14" max="14" width="19.42578125" customWidth="1"/>
  </cols>
  <sheetData>
    <row r="1" spans="1:23" s="17" customFormat="1" ht="15.75" x14ac:dyDescent="0.25">
      <c r="A1" s="2" t="s">
        <v>1368</v>
      </c>
      <c r="B1" s="16"/>
      <c r="F1" s="18"/>
      <c r="K1" s="19"/>
      <c r="N1"/>
      <c r="O1"/>
      <c r="P1"/>
      <c r="Q1"/>
      <c r="R1"/>
      <c r="S1"/>
      <c r="T1"/>
      <c r="U1"/>
      <c r="V1"/>
      <c r="W1"/>
    </row>
    <row r="2" spans="1:23" s="22" customFormat="1" x14ac:dyDescent="0.25">
      <c r="A2" s="20" t="s">
        <v>68</v>
      </c>
      <c r="B2" s="21"/>
      <c r="C2" s="20"/>
      <c r="G2" s="20"/>
      <c r="K2" s="23"/>
      <c r="N2"/>
      <c r="O2"/>
      <c r="P2"/>
      <c r="Q2"/>
      <c r="R2"/>
      <c r="S2"/>
      <c r="T2"/>
      <c r="U2"/>
      <c r="V2"/>
      <c r="W2"/>
    </row>
    <row r="3" spans="1:23" s="10" customFormat="1" x14ac:dyDescent="0.25">
      <c r="A3" s="20" t="s">
        <v>844</v>
      </c>
      <c r="B3" s="21"/>
      <c r="K3" s="24"/>
      <c r="N3"/>
      <c r="O3"/>
      <c r="P3"/>
      <c r="Q3"/>
      <c r="R3"/>
      <c r="S3"/>
      <c r="T3"/>
      <c r="U3"/>
      <c r="V3"/>
      <c r="W3"/>
    </row>
    <row r="4" spans="1:23" s="28" customFormat="1" ht="22.5" x14ac:dyDescent="0.25">
      <c r="A4" s="25" t="s">
        <v>0</v>
      </c>
      <c r="B4" s="25" t="s">
        <v>1</v>
      </c>
      <c r="C4" s="25" t="s">
        <v>2</v>
      </c>
      <c r="D4" s="26" t="s">
        <v>3</v>
      </c>
      <c r="E4" s="26" t="s">
        <v>4</v>
      </c>
      <c r="F4" s="26" t="s">
        <v>6</v>
      </c>
      <c r="G4" s="27" t="s">
        <v>7</v>
      </c>
      <c r="H4" s="27" t="s">
        <v>8</v>
      </c>
      <c r="I4" s="26" t="s">
        <v>9</v>
      </c>
      <c r="J4" s="26" t="s">
        <v>10</v>
      </c>
      <c r="K4" s="27" t="s">
        <v>11</v>
      </c>
      <c r="L4" s="27" t="s">
        <v>12</v>
      </c>
      <c r="M4" s="26" t="s">
        <v>13</v>
      </c>
      <c r="N4"/>
      <c r="O4"/>
      <c r="P4"/>
      <c r="Q4"/>
      <c r="R4"/>
      <c r="S4"/>
      <c r="T4"/>
      <c r="U4"/>
      <c r="V4"/>
      <c r="W4"/>
    </row>
    <row r="5" spans="1:23" ht="22.5" x14ac:dyDescent="0.25">
      <c r="A5" s="7" t="s">
        <v>69</v>
      </c>
      <c r="B5" s="7">
        <v>4.3</v>
      </c>
      <c r="C5" s="7" t="s">
        <v>67</v>
      </c>
      <c r="D5" s="28" t="s">
        <v>179</v>
      </c>
      <c r="E5" s="29" t="s">
        <v>180</v>
      </c>
      <c r="F5" s="29" t="s">
        <v>83</v>
      </c>
      <c r="G5" s="30">
        <v>5.3780738073807388</v>
      </c>
      <c r="H5" s="31"/>
      <c r="I5" s="32">
        <v>1</v>
      </c>
      <c r="J5" s="33">
        <f>365/7*20</f>
        <v>1042.8571428571429</v>
      </c>
      <c r="K5" s="13">
        <f t="shared" ref="K5:K19" si="0">G5*I5/J5</f>
        <v>5.1570570755705711E-3</v>
      </c>
      <c r="L5" s="31" t="s">
        <v>181</v>
      </c>
      <c r="M5" s="18" t="s">
        <v>182</v>
      </c>
    </row>
    <row r="6" spans="1:23" ht="22.5" x14ac:dyDescent="0.25">
      <c r="A6" s="7" t="s">
        <v>69</v>
      </c>
      <c r="B6" s="7">
        <v>4.3</v>
      </c>
      <c r="C6" s="7" t="s">
        <v>67</v>
      </c>
      <c r="D6" s="28" t="s">
        <v>179</v>
      </c>
      <c r="E6" s="29" t="s">
        <v>183</v>
      </c>
      <c r="F6" s="29" t="s">
        <v>83</v>
      </c>
      <c r="G6" s="30">
        <v>6.2814221422142227</v>
      </c>
      <c r="H6" s="30"/>
      <c r="I6" s="32">
        <v>1</v>
      </c>
      <c r="J6" s="33">
        <f>365/7*20</f>
        <v>1042.8571428571429</v>
      </c>
      <c r="K6" s="13">
        <f t="shared" si="0"/>
        <v>6.0232815062328162E-3</v>
      </c>
      <c r="L6" s="31" t="s">
        <v>320</v>
      </c>
      <c r="M6" s="29" t="s">
        <v>184</v>
      </c>
    </row>
    <row r="7" spans="1:23" ht="22.5" x14ac:dyDescent="0.25">
      <c r="A7" s="7" t="s">
        <v>69</v>
      </c>
      <c r="B7" s="7">
        <v>4.3</v>
      </c>
      <c r="C7" s="7" t="s">
        <v>67</v>
      </c>
      <c r="D7" s="28" t="s">
        <v>179</v>
      </c>
      <c r="E7" s="29" t="s">
        <v>1139</v>
      </c>
      <c r="F7" s="29" t="s">
        <v>1141</v>
      </c>
      <c r="G7" s="30">
        <v>129.99</v>
      </c>
      <c r="H7" s="30"/>
      <c r="I7" s="32">
        <v>1</v>
      </c>
      <c r="J7" s="34">
        <f>365/7*10</f>
        <v>521.42857142857144</v>
      </c>
      <c r="K7" s="13">
        <f t="shared" si="0"/>
        <v>0.24929589041095893</v>
      </c>
      <c r="L7" s="31" t="s">
        <v>1142</v>
      </c>
      <c r="M7" s="29" t="s">
        <v>1140</v>
      </c>
    </row>
    <row r="8" spans="1:23" ht="22.5" x14ac:dyDescent="0.25">
      <c r="A8" s="7" t="s">
        <v>69</v>
      </c>
      <c r="B8" s="7">
        <v>4.3</v>
      </c>
      <c r="C8" s="7" t="s">
        <v>67</v>
      </c>
      <c r="D8" s="28" t="s">
        <v>179</v>
      </c>
      <c r="E8" s="29" t="s">
        <v>1144</v>
      </c>
      <c r="F8" s="29" t="s">
        <v>1146</v>
      </c>
      <c r="G8" s="30">
        <v>3.49</v>
      </c>
      <c r="H8" s="30"/>
      <c r="I8" s="32">
        <v>1</v>
      </c>
      <c r="J8" s="33">
        <f>365/84</f>
        <v>4.3452380952380949</v>
      </c>
      <c r="K8" s="13">
        <f t="shared" si="0"/>
        <v>0.80317808219178088</v>
      </c>
      <c r="L8" s="31" t="s">
        <v>1145</v>
      </c>
      <c r="M8" s="29"/>
    </row>
    <row r="9" spans="1:23" ht="33.75" x14ac:dyDescent="0.25">
      <c r="A9" s="7" t="s">
        <v>69</v>
      </c>
      <c r="B9" s="7">
        <v>4.3</v>
      </c>
      <c r="C9" s="7" t="s">
        <v>67</v>
      </c>
      <c r="D9" s="28" t="s">
        <v>179</v>
      </c>
      <c r="E9" s="29" t="s">
        <v>1147</v>
      </c>
      <c r="F9" s="29" t="s">
        <v>83</v>
      </c>
      <c r="G9" s="30">
        <v>14.99</v>
      </c>
      <c r="H9" s="30"/>
      <c r="I9" s="32">
        <v>2</v>
      </c>
      <c r="J9" s="34">
        <f>365/7*20</f>
        <v>1042.8571428571429</v>
      </c>
      <c r="K9" s="13">
        <f t="shared" si="0"/>
        <v>2.874794520547945E-2</v>
      </c>
      <c r="L9" s="31" t="s">
        <v>1148</v>
      </c>
      <c r="M9" s="29" t="s">
        <v>1149</v>
      </c>
    </row>
    <row r="10" spans="1:23" ht="22.5" x14ac:dyDescent="0.25">
      <c r="A10" s="6" t="s">
        <v>69</v>
      </c>
      <c r="B10" s="6">
        <v>5.2</v>
      </c>
      <c r="C10" s="7" t="s">
        <v>67</v>
      </c>
      <c r="D10" s="7" t="s">
        <v>70</v>
      </c>
      <c r="E10" s="7" t="s">
        <v>73</v>
      </c>
      <c r="F10" s="7" t="s">
        <v>74</v>
      </c>
      <c r="G10" s="13">
        <v>5.5</v>
      </c>
      <c r="H10" s="35"/>
      <c r="I10" s="36">
        <v>2</v>
      </c>
      <c r="J10" s="34">
        <f>365/7*5</f>
        <v>260.71428571428572</v>
      </c>
      <c r="K10" s="13">
        <f t="shared" si="0"/>
        <v>4.219178082191781E-2</v>
      </c>
      <c r="L10" s="7" t="s">
        <v>1171</v>
      </c>
      <c r="M10" s="37" t="s">
        <v>75</v>
      </c>
    </row>
    <row r="11" spans="1:23" ht="22.5" x14ac:dyDescent="0.25">
      <c r="A11" s="6" t="s">
        <v>69</v>
      </c>
      <c r="B11" s="6">
        <v>5.2</v>
      </c>
      <c r="C11" s="7" t="s">
        <v>67</v>
      </c>
      <c r="D11" s="7" t="s">
        <v>70</v>
      </c>
      <c r="E11" s="7" t="s">
        <v>73</v>
      </c>
      <c r="F11" s="7" t="s">
        <v>74</v>
      </c>
      <c r="G11" s="13">
        <v>5.5</v>
      </c>
      <c r="H11" s="35"/>
      <c r="I11" s="36">
        <v>2</v>
      </c>
      <c r="J11" s="34">
        <f>365/7*5</f>
        <v>260.71428571428572</v>
      </c>
      <c r="K11" s="13">
        <f t="shared" si="0"/>
        <v>4.219178082191781E-2</v>
      </c>
      <c r="L11" s="7" t="s">
        <v>1172</v>
      </c>
      <c r="M11" s="37" t="s">
        <v>75</v>
      </c>
    </row>
    <row r="12" spans="1:23" ht="22.5" x14ac:dyDescent="0.25">
      <c r="A12" s="6" t="s">
        <v>69</v>
      </c>
      <c r="B12" s="6">
        <v>5.0999999999999996</v>
      </c>
      <c r="C12" s="7" t="s">
        <v>67</v>
      </c>
      <c r="D12" s="7" t="s">
        <v>70</v>
      </c>
      <c r="E12" s="7" t="s">
        <v>71</v>
      </c>
      <c r="F12" s="7"/>
      <c r="G12" s="13">
        <v>80</v>
      </c>
      <c r="H12" s="35">
        <v>1</v>
      </c>
      <c r="I12" s="36">
        <v>1</v>
      </c>
      <c r="J12" s="34">
        <f>365/7*10</f>
        <v>521.42857142857144</v>
      </c>
      <c r="K12" s="13">
        <f t="shared" si="0"/>
        <v>0.15342465753424658</v>
      </c>
      <c r="M12" s="7" t="s">
        <v>1121</v>
      </c>
    </row>
    <row r="13" spans="1:23" ht="22.5" x14ac:dyDescent="0.25">
      <c r="A13" s="6" t="s">
        <v>69</v>
      </c>
      <c r="B13" s="6">
        <v>5.5</v>
      </c>
      <c r="C13" s="7" t="s">
        <v>67</v>
      </c>
      <c r="D13" s="7" t="s">
        <v>70</v>
      </c>
      <c r="E13" s="7" t="s">
        <v>72</v>
      </c>
      <c r="F13" s="7" t="s">
        <v>50</v>
      </c>
      <c r="G13" s="13">
        <v>5</v>
      </c>
      <c r="H13" s="35">
        <v>1</v>
      </c>
      <c r="I13" s="36">
        <v>1</v>
      </c>
      <c r="J13" s="34">
        <f>365/7*5</f>
        <v>260.71428571428572</v>
      </c>
      <c r="K13" s="13">
        <f t="shared" si="0"/>
        <v>1.9178082191780823E-2</v>
      </c>
      <c r="L13" s="7" t="s">
        <v>1136</v>
      </c>
      <c r="M13" s="38" t="s">
        <v>1126</v>
      </c>
    </row>
    <row r="14" spans="1:23" x14ac:dyDescent="0.25">
      <c r="A14" s="6" t="s">
        <v>69</v>
      </c>
      <c r="B14" s="6">
        <v>5.0999999999999996</v>
      </c>
      <c r="C14" s="7" t="s">
        <v>67</v>
      </c>
      <c r="D14" s="7" t="s">
        <v>70</v>
      </c>
      <c r="E14" s="7" t="s">
        <v>1174</v>
      </c>
      <c r="F14" s="7" t="s">
        <v>1175</v>
      </c>
      <c r="G14" s="13">
        <v>130</v>
      </c>
      <c r="H14" s="35">
        <v>1</v>
      </c>
      <c r="I14" s="36">
        <v>1</v>
      </c>
      <c r="J14" s="34">
        <f>365/7*25</f>
        <v>1303.5714285714287</v>
      </c>
      <c r="K14" s="13">
        <f t="shared" si="0"/>
        <v>9.9726027397260261E-2</v>
      </c>
      <c r="L14" s="7" t="s">
        <v>1176</v>
      </c>
      <c r="M14" s="18" t="s">
        <v>1173</v>
      </c>
    </row>
    <row r="15" spans="1:23" ht="22.5" x14ac:dyDescent="0.25">
      <c r="A15" s="6" t="s">
        <v>69</v>
      </c>
      <c r="B15" s="6">
        <v>5.0999999999999996</v>
      </c>
      <c r="C15" s="7" t="s">
        <v>67</v>
      </c>
      <c r="D15" s="7" t="s">
        <v>70</v>
      </c>
      <c r="E15" s="7" t="s">
        <v>186</v>
      </c>
      <c r="F15" s="7" t="s">
        <v>1175</v>
      </c>
      <c r="G15" s="13">
        <v>90</v>
      </c>
      <c r="H15" s="35">
        <v>1</v>
      </c>
      <c r="I15" s="36">
        <v>1</v>
      </c>
      <c r="J15" s="34">
        <f>365/7*25</f>
        <v>1303.5714285714287</v>
      </c>
      <c r="K15" s="13">
        <f t="shared" si="0"/>
        <v>6.904109589041095E-2</v>
      </c>
      <c r="L15" s="7" t="s">
        <v>1177</v>
      </c>
      <c r="M15" s="18" t="s">
        <v>1178</v>
      </c>
    </row>
    <row r="16" spans="1:23" ht="22.5" x14ac:dyDescent="0.25">
      <c r="A16" s="6" t="s">
        <v>69</v>
      </c>
      <c r="B16" s="6">
        <v>5.0999999999999996</v>
      </c>
      <c r="C16" s="7" t="s">
        <v>67</v>
      </c>
      <c r="D16" s="7" t="s">
        <v>70</v>
      </c>
      <c r="E16" s="7" t="s">
        <v>303</v>
      </c>
      <c r="F16" s="7" t="s">
        <v>1131</v>
      </c>
      <c r="G16" s="13">
        <v>60</v>
      </c>
      <c r="H16" s="35">
        <v>1</v>
      </c>
      <c r="I16" s="36">
        <v>1</v>
      </c>
      <c r="J16" s="34">
        <f>365/7*25</f>
        <v>1303.5714285714287</v>
      </c>
      <c r="K16" s="13">
        <f t="shared" si="0"/>
        <v>4.6027397260273967E-2</v>
      </c>
      <c r="L16" s="7"/>
      <c r="M16" s="18" t="s">
        <v>1179</v>
      </c>
    </row>
    <row r="17" spans="1:13" x14ac:dyDescent="0.25">
      <c r="A17" s="6" t="s">
        <v>1143</v>
      </c>
      <c r="B17" s="6">
        <v>6.1</v>
      </c>
      <c r="C17" s="7" t="s">
        <v>67</v>
      </c>
      <c r="D17" s="7" t="s">
        <v>70</v>
      </c>
      <c r="E17" s="7" t="s">
        <v>1180</v>
      </c>
      <c r="F17" s="7" t="s">
        <v>79</v>
      </c>
      <c r="G17" s="13">
        <v>28</v>
      </c>
      <c r="H17" s="35">
        <v>1</v>
      </c>
      <c r="I17" s="36">
        <v>1</v>
      </c>
      <c r="J17" s="34">
        <f>365/7*10</f>
        <v>521.42857142857144</v>
      </c>
      <c r="K17" s="13">
        <f t="shared" si="0"/>
        <v>5.3698630136986301E-2</v>
      </c>
      <c r="L17" s="7"/>
      <c r="M17" s="18" t="s">
        <v>1181</v>
      </c>
    </row>
    <row r="18" spans="1:13" x14ac:dyDescent="0.25">
      <c r="A18" s="6" t="s">
        <v>69</v>
      </c>
      <c r="B18" s="6">
        <v>5.5</v>
      </c>
      <c r="C18" s="7" t="s">
        <v>67</v>
      </c>
      <c r="D18" s="7" t="s">
        <v>70</v>
      </c>
      <c r="E18" s="7" t="s">
        <v>185</v>
      </c>
      <c r="F18" s="7" t="s">
        <v>321</v>
      </c>
      <c r="G18" s="13">
        <v>15.762942779291555</v>
      </c>
      <c r="H18" s="35">
        <v>6</v>
      </c>
      <c r="I18" s="36">
        <v>1</v>
      </c>
      <c r="J18" s="34">
        <f>365/7*20</f>
        <v>1042.8571428571429</v>
      </c>
      <c r="K18" s="13">
        <f t="shared" si="0"/>
        <v>1.5115150610279572E-2</v>
      </c>
      <c r="L18" s="7"/>
      <c r="M18" s="18" t="s">
        <v>322</v>
      </c>
    </row>
    <row r="19" spans="1:13" s="39" customFormat="1" ht="33.75" x14ac:dyDescent="0.25">
      <c r="A19" s="6" t="s">
        <v>69</v>
      </c>
      <c r="B19" s="39">
        <v>4.3</v>
      </c>
      <c r="C19" s="39" t="s">
        <v>931</v>
      </c>
      <c r="D19" s="39" t="s">
        <v>1150</v>
      </c>
      <c r="E19" s="39" t="s">
        <v>1151</v>
      </c>
      <c r="G19" s="40">
        <v>2000</v>
      </c>
      <c r="I19" s="39">
        <v>1</v>
      </c>
      <c r="J19" s="39">
        <f>(365/7)*25</f>
        <v>1303.5714285714287</v>
      </c>
      <c r="K19" s="40">
        <f t="shared" si="0"/>
        <v>1.5342465753424657</v>
      </c>
      <c r="L19" s="39" t="s">
        <v>1166</v>
      </c>
    </row>
    <row r="20" spans="1:13" s="39" customFormat="1" ht="33.75" x14ac:dyDescent="0.25">
      <c r="A20" s="6" t="s">
        <v>69</v>
      </c>
      <c r="B20" s="39">
        <v>5.0999999999999996</v>
      </c>
      <c r="C20" s="39" t="s">
        <v>931</v>
      </c>
      <c r="D20" s="39" t="s">
        <v>1150</v>
      </c>
      <c r="E20" s="39" t="s">
        <v>1152</v>
      </c>
      <c r="G20" s="40"/>
      <c r="K20" s="40"/>
      <c r="L20" s="39" t="s">
        <v>1153</v>
      </c>
    </row>
    <row r="21" spans="1:13" s="39" customFormat="1" ht="22.5" x14ac:dyDescent="0.25">
      <c r="A21" s="6" t="s">
        <v>69</v>
      </c>
      <c r="B21" s="39">
        <v>5.5</v>
      </c>
      <c r="C21" s="39" t="s">
        <v>931</v>
      </c>
      <c r="D21" s="39" t="s">
        <v>1150</v>
      </c>
      <c r="E21" s="39" t="s">
        <v>1154</v>
      </c>
      <c r="F21" s="39" t="s">
        <v>1155</v>
      </c>
      <c r="G21" s="40">
        <v>7.5</v>
      </c>
      <c r="H21" s="39">
        <v>4</v>
      </c>
      <c r="I21" s="39">
        <v>1</v>
      </c>
      <c r="J21" s="39">
        <f>365/7*10</f>
        <v>521.42857142857144</v>
      </c>
      <c r="K21" s="40">
        <f>G21*I21/J21</f>
        <v>1.4383561643835616E-2</v>
      </c>
      <c r="M21" s="39" t="s">
        <v>1156</v>
      </c>
    </row>
    <row r="22" spans="1:13" s="39" customFormat="1" ht="22.5" x14ac:dyDescent="0.25">
      <c r="A22" s="6" t="s">
        <v>69</v>
      </c>
      <c r="B22" s="39">
        <v>5.0999999999999996</v>
      </c>
      <c r="C22" s="39" t="s">
        <v>931</v>
      </c>
      <c r="D22" s="39" t="s">
        <v>1150</v>
      </c>
      <c r="E22" s="39" t="s">
        <v>89</v>
      </c>
      <c r="F22" s="7" t="s">
        <v>79</v>
      </c>
      <c r="G22" s="13">
        <v>24</v>
      </c>
      <c r="H22" s="35">
        <v>1</v>
      </c>
      <c r="I22" s="35">
        <v>1</v>
      </c>
      <c r="J22" s="34">
        <f>365/7*10</f>
        <v>521.42857142857144</v>
      </c>
      <c r="K22" s="13">
        <f>G22*I22/J22</f>
        <v>4.6027397260273974E-2</v>
      </c>
      <c r="L22" s="7" t="s">
        <v>1138</v>
      </c>
      <c r="M22" s="7" t="s">
        <v>1137</v>
      </c>
    </row>
    <row r="23" spans="1:13" s="39" customFormat="1" ht="22.5" x14ac:dyDescent="0.25">
      <c r="A23" s="6" t="s">
        <v>69</v>
      </c>
      <c r="B23" s="39">
        <v>5.4</v>
      </c>
      <c r="C23" s="39" t="s">
        <v>931</v>
      </c>
      <c r="D23" s="39" t="s">
        <v>1150</v>
      </c>
      <c r="E23" s="39" t="s">
        <v>1157</v>
      </c>
      <c r="G23" s="40"/>
      <c r="K23" s="40"/>
      <c r="L23" s="39" t="s">
        <v>1158</v>
      </c>
    </row>
    <row r="24" spans="1:13" s="39" customFormat="1" ht="22.5" x14ac:dyDescent="0.25">
      <c r="A24" s="6" t="s">
        <v>69</v>
      </c>
      <c r="B24" s="39">
        <v>5.2</v>
      </c>
      <c r="C24" s="39" t="s">
        <v>931</v>
      </c>
      <c r="D24" s="39" t="s">
        <v>1150</v>
      </c>
      <c r="E24" s="39" t="s">
        <v>1159</v>
      </c>
      <c r="F24" s="39" t="s">
        <v>50</v>
      </c>
      <c r="G24" s="40">
        <v>3.5</v>
      </c>
      <c r="I24" s="39">
        <v>2</v>
      </c>
      <c r="J24" s="39">
        <f>365/7*2</f>
        <v>104.28571428571429</v>
      </c>
      <c r="K24" s="40">
        <f>G24*I24/J24</f>
        <v>6.7123287671232879E-2</v>
      </c>
      <c r="L24" s="39" t="s">
        <v>1168</v>
      </c>
      <c r="M24" s="39" t="s">
        <v>1167</v>
      </c>
    </row>
    <row r="25" spans="1:13" s="39" customFormat="1" ht="22.5" x14ac:dyDescent="0.25">
      <c r="A25" s="6" t="s">
        <v>69</v>
      </c>
      <c r="B25" s="39">
        <v>5.4</v>
      </c>
      <c r="C25" s="39" t="s">
        <v>931</v>
      </c>
      <c r="D25" s="39" t="s">
        <v>1150</v>
      </c>
      <c r="E25" s="39" t="s">
        <v>1160</v>
      </c>
      <c r="F25" s="39" t="s">
        <v>83</v>
      </c>
      <c r="G25" s="40">
        <v>30</v>
      </c>
      <c r="I25" s="39">
        <v>1</v>
      </c>
      <c r="J25" s="39">
        <f>365/7*10</f>
        <v>521.42857142857144</v>
      </c>
      <c r="K25" s="40">
        <f>G25*I25/J25</f>
        <v>5.7534246575342465E-2</v>
      </c>
      <c r="L25" s="39" t="s">
        <v>1169</v>
      </c>
      <c r="M25" s="39" t="s">
        <v>1161</v>
      </c>
    </row>
    <row r="26" spans="1:13" s="39" customFormat="1" ht="11.25" x14ac:dyDescent="0.25">
      <c r="A26" s="6" t="s">
        <v>69</v>
      </c>
      <c r="B26" s="39">
        <v>5.4</v>
      </c>
      <c r="C26" s="39" t="s">
        <v>931</v>
      </c>
      <c r="D26" s="39" t="s">
        <v>1150</v>
      </c>
      <c r="E26" s="39" t="s">
        <v>1162</v>
      </c>
      <c r="G26" s="40"/>
      <c r="K26" s="40"/>
      <c r="L26" s="39" t="s">
        <v>1163</v>
      </c>
    </row>
    <row r="27" spans="1:13" s="39" customFormat="1" ht="22.5" x14ac:dyDescent="0.25">
      <c r="A27" s="6" t="s">
        <v>69</v>
      </c>
      <c r="B27" s="39">
        <v>5.6</v>
      </c>
      <c r="C27" s="39" t="s">
        <v>931</v>
      </c>
      <c r="D27" s="39" t="s">
        <v>1150</v>
      </c>
      <c r="E27" s="39" t="s">
        <v>1164</v>
      </c>
      <c r="F27" s="39" t="s">
        <v>1155</v>
      </c>
      <c r="G27" s="40">
        <v>5.4970760233918128</v>
      </c>
      <c r="I27" s="39">
        <v>1</v>
      </c>
      <c r="J27" s="39">
        <f>365/84*6</f>
        <v>26.071428571428569</v>
      </c>
      <c r="K27" s="40">
        <f t="shared" ref="K27:K64" si="1">G27*I27/J27</f>
        <v>0.21084675158215174</v>
      </c>
      <c r="L27" s="39" t="s">
        <v>1165</v>
      </c>
      <c r="M27" s="39" t="s">
        <v>1170</v>
      </c>
    </row>
    <row r="28" spans="1:13" ht="22.5" x14ac:dyDescent="0.25">
      <c r="A28" s="6" t="s">
        <v>69</v>
      </c>
      <c r="B28" s="6">
        <v>5.0999999999999996</v>
      </c>
      <c r="C28" s="7" t="s">
        <v>67</v>
      </c>
      <c r="D28" s="7" t="s">
        <v>77</v>
      </c>
      <c r="E28" s="7" t="s">
        <v>71</v>
      </c>
      <c r="F28" s="7"/>
      <c r="G28" s="13">
        <v>120</v>
      </c>
      <c r="H28" s="35">
        <v>1</v>
      </c>
      <c r="I28" s="36">
        <v>1</v>
      </c>
      <c r="J28" s="34">
        <f>365/7*10</f>
        <v>521.42857142857144</v>
      </c>
      <c r="K28" s="13">
        <f t="shared" si="1"/>
        <v>0.23013698630136986</v>
      </c>
      <c r="L28" s="7"/>
      <c r="M28" s="7" t="s">
        <v>1123</v>
      </c>
    </row>
    <row r="29" spans="1:13" ht="22.5" x14ac:dyDescent="0.25">
      <c r="A29" s="6" t="s">
        <v>69</v>
      </c>
      <c r="B29" s="6">
        <v>5.5</v>
      </c>
      <c r="C29" s="7" t="s">
        <v>67</v>
      </c>
      <c r="D29" s="7" t="s">
        <v>77</v>
      </c>
      <c r="E29" s="7" t="s">
        <v>72</v>
      </c>
      <c r="F29" s="7" t="s">
        <v>50</v>
      </c>
      <c r="G29" s="13">
        <v>5</v>
      </c>
      <c r="H29" s="35">
        <v>1</v>
      </c>
      <c r="I29" s="36">
        <v>1</v>
      </c>
      <c r="J29" s="34">
        <f>365/7*5</f>
        <v>260.71428571428572</v>
      </c>
      <c r="K29" s="13">
        <f t="shared" si="1"/>
        <v>1.9178082191780823E-2</v>
      </c>
      <c r="L29" s="7" t="s">
        <v>1136</v>
      </c>
      <c r="M29" s="38" t="s">
        <v>1126</v>
      </c>
    </row>
    <row r="30" spans="1:13" x14ac:dyDescent="0.25">
      <c r="A30" s="6" t="s">
        <v>69</v>
      </c>
      <c r="B30" s="6">
        <v>5.2</v>
      </c>
      <c r="C30" s="7" t="s">
        <v>67</v>
      </c>
      <c r="D30" s="7" t="s">
        <v>77</v>
      </c>
      <c r="E30" s="7"/>
      <c r="F30" s="6"/>
      <c r="G30" s="13">
        <v>200</v>
      </c>
      <c r="H30" s="35">
        <v>2</v>
      </c>
      <c r="I30" s="35">
        <v>1</v>
      </c>
      <c r="J30" s="34">
        <f>365/7*10</f>
        <v>521.42857142857144</v>
      </c>
      <c r="K30" s="13">
        <f t="shared" si="1"/>
        <v>0.38356164383561642</v>
      </c>
      <c r="L30" s="7"/>
      <c r="M30" s="7" t="s">
        <v>1122</v>
      </c>
    </row>
    <row r="31" spans="1:13" ht="33.75" x14ac:dyDescent="0.25">
      <c r="A31" s="6" t="s">
        <v>69</v>
      </c>
      <c r="B31" s="6">
        <v>5.0999999999999996</v>
      </c>
      <c r="C31" s="7" t="s">
        <v>67</v>
      </c>
      <c r="D31" s="7" t="s">
        <v>77</v>
      </c>
      <c r="E31" s="8" t="s">
        <v>187</v>
      </c>
      <c r="F31" s="9" t="s">
        <v>178</v>
      </c>
      <c r="G31" s="30">
        <v>1199</v>
      </c>
      <c r="H31" s="8">
        <v>1</v>
      </c>
      <c r="I31" s="41">
        <v>1</v>
      </c>
      <c r="J31" s="34">
        <f>365/7*10</f>
        <v>521.42857142857144</v>
      </c>
      <c r="K31" s="13">
        <f t="shared" si="1"/>
        <v>2.2994520547945205</v>
      </c>
      <c r="L31" s="10" t="s">
        <v>1182</v>
      </c>
      <c r="M31" s="7" t="s">
        <v>1185</v>
      </c>
    </row>
    <row r="32" spans="1:13" ht="33.75" x14ac:dyDescent="0.25">
      <c r="A32" s="6" t="s">
        <v>69</v>
      </c>
      <c r="B32" s="6">
        <v>5.0999999999999996</v>
      </c>
      <c r="C32" s="7" t="s">
        <v>67</v>
      </c>
      <c r="D32" s="7" t="s">
        <v>323</v>
      </c>
      <c r="E32" s="10" t="s">
        <v>324</v>
      </c>
      <c r="F32" s="24" t="s">
        <v>178</v>
      </c>
      <c r="G32" s="42">
        <v>1699</v>
      </c>
      <c r="H32" s="10">
        <v>1</v>
      </c>
      <c r="I32" s="43">
        <v>1</v>
      </c>
      <c r="J32" s="44">
        <f>365/7*10</f>
        <v>521.42857142857144</v>
      </c>
      <c r="K32" s="13">
        <f t="shared" si="1"/>
        <v>3.2583561643835615</v>
      </c>
      <c r="L32" s="10" t="s">
        <v>1184</v>
      </c>
      <c r="M32" s="8" t="s">
        <v>1183</v>
      </c>
    </row>
    <row r="33" spans="1:13" x14ac:dyDescent="0.25">
      <c r="A33" s="6" t="s">
        <v>69</v>
      </c>
      <c r="B33" s="6">
        <v>5.2</v>
      </c>
      <c r="C33" s="7" t="s">
        <v>67</v>
      </c>
      <c r="D33" s="7" t="s">
        <v>77</v>
      </c>
      <c r="E33" s="10" t="s">
        <v>80</v>
      </c>
      <c r="F33" s="24" t="s">
        <v>1175</v>
      </c>
      <c r="G33" s="42">
        <v>22</v>
      </c>
      <c r="H33" s="10">
        <v>1</v>
      </c>
      <c r="I33" s="43">
        <v>5</v>
      </c>
      <c r="J33" s="45">
        <f>365/7*5</f>
        <v>260.71428571428572</v>
      </c>
      <c r="K33" s="13">
        <f t="shared" si="1"/>
        <v>0.42191780821917807</v>
      </c>
      <c r="L33" s="8" t="s">
        <v>1187</v>
      </c>
      <c r="M33" s="7" t="s">
        <v>1186</v>
      </c>
    </row>
    <row r="34" spans="1:13" x14ac:dyDescent="0.25">
      <c r="A34" s="6" t="s">
        <v>69</v>
      </c>
      <c r="B34" s="6">
        <v>5.0999999999999996</v>
      </c>
      <c r="C34" s="7" t="s">
        <v>67</v>
      </c>
      <c r="D34" s="7" t="s">
        <v>77</v>
      </c>
      <c r="E34" s="10" t="s">
        <v>188</v>
      </c>
      <c r="F34" s="24" t="s">
        <v>1175</v>
      </c>
      <c r="G34" s="42">
        <v>135</v>
      </c>
      <c r="H34" s="10">
        <v>2</v>
      </c>
      <c r="I34" s="43">
        <v>1</v>
      </c>
      <c r="J34" s="45">
        <f>365/7*25</f>
        <v>1303.5714285714287</v>
      </c>
      <c r="K34" s="13">
        <f t="shared" si="1"/>
        <v>0.10356164383561643</v>
      </c>
      <c r="L34" s="10" t="s">
        <v>1208</v>
      </c>
      <c r="M34" s="7" t="s">
        <v>1206</v>
      </c>
    </row>
    <row r="35" spans="1:13" x14ac:dyDescent="0.25">
      <c r="A35" s="6" t="s">
        <v>69</v>
      </c>
      <c r="B35" s="6">
        <v>5.0999999999999996</v>
      </c>
      <c r="C35" s="7" t="s">
        <v>67</v>
      </c>
      <c r="D35" s="7" t="s">
        <v>77</v>
      </c>
      <c r="E35" s="10" t="s">
        <v>1207</v>
      </c>
      <c r="F35" s="24" t="s">
        <v>1175</v>
      </c>
      <c r="G35" s="42">
        <v>135</v>
      </c>
      <c r="H35" s="10">
        <v>1</v>
      </c>
      <c r="I35" s="43">
        <v>1</v>
      </c>
      <c r="J35" s="45">
        <f>365/7*25</f>
        <v>1303.5714285714287</v>
      </c>
      <c r="K35" s="13">
        <f t="shared" si="1"/>
        <v>0.10356164383561643</v>
      </c>
      <c r="L35" s="10" t="s">
        <v>1205</v>
      </c>
      <c r="M35" s="7" t="s">
        <v>1209</v>
      </c>
    </row>
    <row r="36" spans="1:13" ht="22.5" x14ac:dyDescent="0.25">
      <c r="A36" s="6" t="s">
        <v>69</v>
      </c>
      <c r="B36" s="6">
        <v>5.0999999999999996</v>
      </c>
      <c r="C36" s="7" t="s">
        <v>67</v>
      </c>
      <c r="D36" s="7" t="s">
        <v>77</v>
      </c>
      <c r="E36" s="10" t="s">
        <v>189</v>
      </c>
      <c r="F36" s="24" t="s">
        <v>74</v>
      </c>
      <c r="G36" s="42">
        <v>65</v>
      </c>
      <c r="H36" s="10">
        <v>1</v>
      </c>
      <c r="I36" s="43">
        <v>1</v>
      </c>
      <c r="J36" s="45">
        <f>365/7*20</f>
        <v>1042.8571428571429</v>
      </c>
      <c r="K36" s="13">
        <f t="shared" si="1"/>
        <v>6.2328767123287672E-2</v>
      </c>
      <c r="L36" s="10" t="s">
        <v>1213</v>
      </c>
      <c r="M36" s="18" t="s">
        <v>1214</v>
      </c>
    </row>
    <row r="37" spans="1:13" ht="22.5" x14ac:dyDescent="0.25">
      <c r="A37" s="6" t="s">
        <v>69</v>
      </c>
      <c r="B37" s="6">
        <v>5.0999999999999996</v>
      </c>
      <c r="C37" s="7" t="s">
        <v>67</v>
      </c>
      <c r="D37" s="7" t="s">
        <v>77</v>
      </c>
      <c r="E37" s="10" t="s">
        <v>81</v>
      </c>
      <c r="F37" s="24" t="s">
        <v>1210</v>
      </c>
      <c r="G37" s="24">
        <v>449</v>
      </c>
      <c r="H37" s="10">
        <v>1</v>
      </c>
      <c r="I37" s="46">
        <v>1</v>
      </c>
      <c r="J37" s="45">
        <f>365/7*25</f>
        <v>1303.5714285714287</v>
      </c>
      <c r="K37" s="13">
        <f t="shared" si="1"/>
        <v>0.34443835616438356</v>
      </c>
      <c r="L37" s="10" t="s">
        <v>1211</v>
      </c>
      <c r="M37" s="18" t="s">
        <v>1212</v>
      </c>
    </row>
    <row r="38" spans="1:13" x14ac:dyDescent="0.25">
      <c r="A38" s="6" t="s">
        <v>69</v>
      </c>
      <c r="B38" s="6">
        <v>5.0999999999999996</v>
      </c>
      <c r="C38" s="7" t="s">
        <v>67</v>
      </c>
      <c r="D38" s="7" t="s">
        <v>77</v>
      </c>
      <c r="E38" s="10" t="s">
        <v>84</v>
      </c>
      <c r="F38" s="24"/>
      <c r="G38" s="42">
        <v>520</v>
      </c>
      <c r="H38" s="10"/>
      <c r="I38" s="43">
        <v>1</v>
      </c>
      <c r="J38" s="44">
        <f>365/7</f>
        <v>52.142857142857146</v>
      </c>
      <c r="K38" s="13">
        <f t="shared" si="1"/>
        <v>9.9726027397260264</v>
      </c>
      <c r="L38" s="10" t="s">
        <v>1215</v>
      </c>
      <c r="M38" s="10"/>
    </row>
    <row r="39" spans="1:13" ht="22.5" x14ac:dyDescent="0.25">
      <c r="A39" s="6" t="s">
        <v>69</v>
      </c>
      <c r="B39" s="6">
        <v>5.0999999999999996</v>
      </c>
      <c r="C39" s="7" t="s">
        <v>67</v>
      </c>
      <c r="D39" s="7" t="s">
        <v>77</v>
      </c>
      <c r="E39" s="10" t="s">
        <v>190</v>
      </c>
      <c r="F39" s="9" t="s">
        <v>1210</v>
      </c>
      <c r="G39" s="30">
        <v>85</v>
      </c>
      <c r="H39" s="8">
        <v>2</v>
      </c>
      <c r="I39" s="41">
        <v>1</v>
      </c>
      <c r="J39" s="33">
        <f>365/7*10</f>
        <v>521.42857142857144</v>
      </c>
      <c r="K39" s="13">
        <f t="shared" si="1"/>
        <v>0.16301369863013698</v>
      </c>
      <c r="L39" s="10" t="s">
        <v>1216</v>
      </c>
      <c r="M39" s="7" t="s">
        <v>1217</v>
      </c>
    </row>
    <row r="40" spans="1:13" ht="22.5" x14ac:dyDescent="0.25">
      <c r="A40" s="6" t="s">
        <v>69</v>
      </c>
      <c r="B40" s="6">
        <v>5.0999999999999996</v>
      </c>
      <c r="C40" s="7" t="s">
        <v>67</v>
      </c>
      <c r="D40" s="7" t="s">
        <v>77</v>
      </c>
      <c r="E40" s="10" t="s">
        <v>191</v>
      </c>
      <c r="F40" s="24" t="s">
        <v>1210</v>
      </c>
      <c r="G40" s="42">
        <v>140</v>
      </c>
      <c r="H40" s="10">
        <v>1</v>
      </c>
      <c r="I40" s="43">
        <v>1</v>
      </c>
      <c r="J40" s="45">
        <f>365/7*10</f>
        <v>521.42857142857144</v>
      </c>
      <c r="K40" s="13">
        <f t="shared" si="1"/>
        <v>0.26849315068493151</v>
      </c>
      <c r="L40" s="10" t="s">
        <v>1218</v>
      </c>
      <c r="M40" s="18" t="s">
        <v>1219</v>
      </c>
    </row>
    <row r="41" spans="1:13" ht="22.5" x14ac:dyDescent="0.25">
      <c r="A41" s="6" t="s">
        <v>69</v>
      </c>
      <c r="B41" s="6">
        <v>5.0999999999999996</v>
      </c>
      <c r="C41" s="7" t="s">
        <v>67</v>
      </c>
      <c r="D41" s="7" t="s">
        <v>77</v>
      </c>
      <c r="E41" s="10" t="s">
        <v>1220</v>
      </c>
      <c r="F41" s="24" t="s">
        <v>1210</v>
      </c>
      <c r="G41" s="42">
        <v>250</v>
      </c>
      <c r="H41" s="10">
        <v>1</v>
      </c>
      <c r="I41" s="43">
        <v>1</v>
      </c>
      <c r="J41" s="45">
        <f>365/7*10</f>
        <v>521.42857142857144</v>
      </c>
      <c r="K41" s="13">
        <f t="shared" si="1"/>
        <v>0.47945205479452052</v>
      </c>
      <c r="L41" s="10" t="s">
        <v>1221</v>
      </c>
      <c r="M41" s="18" t="s">
        <v>1222</v>
      </c>
    </row>
    <row r="42" spans="1:13" ht="22.5" x14ac:dyDescent="0.25">
      <c r="A42" s="10" t="s">
        <v>69</v>
      </c>
      <c r="B42" s="28">
        <v>5.0999999999999996</v>
      </c>
      <c r="C42" s="7" t="s">
        <v>67</v>
      </c>
      <c r="D42" s="47" t="s">
        <v>85</v>
      </c>
      <c r="E42" s="7" t="s">
        <v>71</v>
      </c>
      <c r="F42" s="7"/>
      <c r="G42" s="13">
        <v>120</v>
      </c>
      <c r="H42" s="35">
        <v>1</v>
      </c>
      <c r="I42" s="36">
        <v>1</v>
      </c>
      <c r="J42" s="34">
        <f>365/7*10</f>
        <v>521.42857142857144</v>
      </c>
      <c r="K42" s="13">
        <f t="shared" si="1"/>
        <v>0.23013698630136986</v>
      </c>
      <c r="L42" s="7"/>
      <c r="M42" s="8" t="s">
        <v>1123</v>
      </c>
    </row>
    <row r="43" spans="1:13" ht="22.5" x14ac:dyDescent="0.25">
      <c r="A43" s="6" t="s">
        <v>69</v>
      </c>
      <c r="B43" s="6">
        <v>5.5</v>
      </c>
      <c r="C43" s="7" t="s">
        <v>67</v>
      </c>
      <c r="D43" s="47" t="s">
        <v>85</v>
      </c>
      <c r="E43" s="7" t="s">
        <v>72</v>
      </c>
      <c r="F43" s="7" t="s">
        <v>50</v>
      </c>
      <c r="G43" s="13">
        <v>5</v>
      </c>
      <c r="H43" s="35">
        <v>1</v>
      </c>
      <c r="I43" s="36">
        <v>1</v>
      </c>
      <c r="J43" s="34">
        <f>365/7*5</f>
        <v>260.71428571428572</v>
      </c>
      <c r="K43" s="13">
        <f t="shared" si="1"/>
        <v>1.9178082191780823E-2</v>
      </c>
      <c r="L43" s="7" t="s">
        <v>1136</v>
      </c>
      <c r="M43" s="38" t="s">
        <v>1126</v>
      </c>
    </row>
    <row r="44" spans="1:13" x14ac:dyDescent="0.25">
      <c r="A44" s="10" t="s">
        <v>69</v>
      </c>
      <c r="B44" s="28">
        <v>5.2</v>
      </c>
      <c r="C44" s="7" t="s">
        <v>67</v>
      </c>
      <c r="D44" s="47" t="s">
        <v>85</v>
      </c>
      <c r="E44" s="7" t="s">
        <v>78</v>
      </c>
      <c r="F44" s="6"/>
      <c r="G44" s="13">
        <v>200</v>
      </c>
      <c r="H44" s="35">
        <v>2</v>
      </c>
      <c r="I44" s="35">
        <v>1</v>
      </c>
      <c r="J44" s="34">
        <f>365/7*10</f>
        <v>521.42857142857144</v>
      </c>
      <c r="K44" s="13">
        <f t="shared" si="1"/>
        <v>0.38356164383561642</v>
      </c>
      <c r="L44" s="7"/>
      <c r="M44" s="7" t="s">
        <v>1122</v>
      </c>
    </row>
    <row r="45" spans="1:13" ht="22.5" x14ac:dyDescent="0.25">
      <c r="A45" s="10" t="s">
        <v>69</v>
      </c>
      <c r="B45" s="28">
        <v>5.0999999999999996</v>
      </c>
      <c r="C45" s="7" t="s">
        <v>67</v>
      </c>
      <c r="D45" s="10" t="s">
        <v>85</v>
      </c>
      <c r="E45" s="8" t="s">
        <v>1225</v>
      </c>
      <c r="F45" s="8" t="s">
        <v>1175</v>
      </c>
      <c r="G45" s="9">
        <v>1250</v>
      </c>
      <c r="H45" s="8">
        <v>1</v>
      </c>
      <c r="I45" s="8">
        <v>1</v>
      </c>
      <c r="J45" s="33">
        <f>365/7*25</f>
        <v>1303.5714285714287</v>
      </c>
      <c r="K45" s="13">
        <f t="shared" si="1"/>
        <v>0.95890410958904104</v>
      </c>
      <c r="L45" s="10" t="s">
        <v>1223</v>
      </c>
      <c r="M45" s="8" t="s">
        <v>1224</v>
      </c>
    </row>
    <row r="46" spans="1:13" x14ac:dyDescent="0.25">
      <c r="A46" s="6" t="s">
        <v>69</v>
      </c>
      <c r="B46" s="6">
        <v>5.0999999999999996</v>
      </c>
      <c r="C46" s="7" t="s">
        <v>67</v>
      </c>
      <c r="D46" s="10" t="s">
        <v>85</v>
      </c>
      <c r="E46" s="10" t="s">
        <v>86</v>
      </c>
      <c r="F46" s="10" t="s">
        <v>79</v>
      </c>
      <c r="G46" s="24">
        <v>20</v>
      </c>
      <c r="H46" s="10">
        <v>4</v>
      </c>
      <c r="I46" s="46">
        <v>2</v>
      </c>
      <c r="J46" s="44">
        <f>365/7*25</f>
        <v>1303.5714285714287</v>
      </c>
      <c r="K46" s="13">
        <f t="shared" si="1"/>
        <v>3.0684931506849311E-2</v>
      </c>
      <c r="L46" s="10" t="s">
        <v>1226</v>
      </c>
      <c r="M46" s="8" t="s">
        <v>1227</v>
      </c>
    </row>
    <row r="47" spans="1:13" x14ac:dyDescent="0.25">
      <c r="A47" s="10" t="s">
        <v>69</v>
      </c>
      <c r="B47" s="28">
        <v>5.0999999999999996</v>
      </c>
      <c r="C47" s="7" t="s">
        <v>67</v>
      </c>
      <c r="D47" s="10" t="s">
        <v>85</v>
      </c>
      <c r="E47" s="10" t="s">
        <v>87</v>
      </c>
      <c r="F47" s="10" t="s">
        <v>79</v>
      </c>
      <c r="G47" s="24">
        <v>6</v>
      </c>
      <c r="H47" s="10">
        <v>4</v>
      </c>
      <c r="I47" s="46">
        <v>2</v>
      </c>
      <c r="J47" s="44">
        <f>365/7*25</f>
        <v>1303.5714285714287</v>
      </c>
      <c r="K47" s="13">
        <f t="shared" si="1"/>
        <v>9.2054794520547937E-3</v>
      </c>
      <c r="L47" s="10" t="s">
        <v>1228</v>
      </c>
      <c r="M47" s="18" t="s">
        <v>1229</v>
      </c>
    </row>
    <row r="48" spans="1:13" ht="22.5" x14ac:dyDescent="0.25">
      <c r="A48" s="10" t="s">
        <v>69</v>
      </c>
      <c r="B48" s="28">
        <v>5.0999999999999996</v>
      </c>
      <c r="C48" s="7" t="s">
        <v>67</v>
      </c>
      <c r="D48" s="10" t="s">
        <v>85</v>
      </c>
      <c r="E48" s="10" t="s">
        <v>1240</v>
      </c>
      <c r="F48" s="10" t="s">
        <v>1175</v>
      </c>
      <c r="G48" s="24">
        <v>595</v>
      </c>
      <c r="H48" s="10">
        <v>1</v>
      </c>
      <c r="I48" s="46">
        <v>1</v>
      </c>
      <c r="J48" s="44">
        <f>365/7*25</f>
        <v>1303.5714285714287</v>
      </c>
      <c r="K48" s="13">
        <f t="shared" si="1"/>
        <v>0.45643835616438355</v>
      </c>
      <c r="L48" s="10" t="s">
        <v>1241</v>
      </c>
      <c r="M48" s="18" t="s">
        <v>1242</v>
      </c>
    </row>
    <row r="49" spans="1:13" ht="22.5" x14ac:dyDescent="0.25">
      <c r="A49" s="10" t="s">
        <v>69</v>
      </c>
      <c r="B49" s="28">
        <v>4.3</v>
      </c>
      <c r="C49" s="7" t="s">
        <v>67</v>
      </c>
      <c r="D49" s="10" t="s">
        <v>88</v>
      </c>
      <c r="E49" s="10" t="s">
        <v>1151</v>
      </c>
      <c r="F49" s="10"/>
      <c r="G49" s="24">
        <v>10000</v>
      </c>
      <c r="H49" s="10">
        <v>1</v>
      </c>
      <c r="I49" s="46">
        <v>1</v>
      </c>
      <c r="J49" s="44">
        <f>365/7*30</f>
        <v>1564.2857142857144</v>
      </c>
      <c r="K49" s="13">
        <f t="shared" si="1"/>
        <v>6.3926940639269398</v>
      </c>
      <c r="L49" s="10" t="s">
        <v>1243</v>
      </c>
      <c r="M49" s="18"/>
    </row>
    <row r="50" spans="1:13" ht="22.5" x14ac:dyDescent="0.25">
      <c r="A50" s="6" t="s">
        <v>69</v>
      </c>
      <c r="B50" s="6">
        <v>5.5</v>
      </c>
      <c r="C50" s="7" t="s">
        <v>67</v>
      </c>
      <c r="D50" s="47" t="s">
        <v>88</v>
      </c>
      <c r="E50" s="7" t="s">
        <v>72</v>
      </c>
      <c r="F50" s="7" t="s">
        <v>50</v>
      </c>
      <c r="G50" s="13">
        <v>5</v>
      </c>
      <c r="H50" s="35">
        <v>1</v>
      </c>
      <c r="I50" s="36">
        <v>1</v>
      </c>
      <c r="J50" s="34">
        <f>365/7*5</f>
        <v>260.71428571428572</v>
      </c>
      <c r="K50" s="13">
        <f t="shared" si="1"/>
        <v>1.9178082191780823E-2</v>
      </c>
      <c r="L50" s="7" t="s">
        <v>1136</v>
      </c>
      <c r="M50" s="38" t="s">
        <v>1126</v>
      </c>
    </row>
    <row r="51" spans="1:13" ht="22.5" x14ac:dyDescent="0.25">
      <c r="A51" s="10" t="s">
        <v>69</v>
      </c>
      <c r="B51" s="28">
        <v>5.0999999999999996</v>
      </c>
      <c r="C51" s="7" t="s">
        <v>67</v>
      </c>
      <c r="D51" s="47" t="s">
        <v>88</v>
      </c>
      <c r="E51" s="7" t="s">
        <v>89</v>
      </c>
      <c r="F51" s="7" t="s">
        <v>79</v>
      </c>
      <c r="G51" s="13">
        <v>24</v>
      </c>
      <c r="H51" s="35">
        <v>1</v>
      </c>
      <c r="I51" s="35">
        <v>1</v>
      </c>
      <c r="J51" s="34">
        <f>365/7*10</f>
        <v>521.42857142857144</v>
      </c>
      <c r="K51" s="13">
        <f t="shared" si="1"/>
        <v>4.6027397260273974E-2</v>
      </c>
      <c r="L51" s="7" t="s">
        <v>1138</v>
      </c>
      <c r="M51" s="7" t="s">
        <v>1137</v>
      </c>
    </row>
    <row r="52" spans="1:13" ht="22.5" x14ac:dyDescent="0.25">
      <c r="A52" s="6" t="s">
        <v>69</v>
      </c>
      <c r="B52" s="6">
        <v>5.4</v>
      </c>
      <c r="C52" s="7" t="s">
        <v>67</v>
      </c>
      <c r="D52" s="10" t="s">
        <v>90</v>
      </c>
      <c r="E52" s="10" t="s">
        <v>91</v>
      </c>
      <c r="F52" s="9" t="s">
        <v>1210</v>
      </c>
      <c r="G52" s="9">
        <v>55</v>
      </c>
      <c r="H52" s="8">
        <v>12</v>
      </c>
      <c r="I52" s="48">
        <v>2</v>
      </c>
      <c r="J52" s="12">
        <f>365/7*6</f>
        <v>312.85714285714289</v>
      </c>
      <c r="K52" s="13">
        <f t="shared" si="1"/>
        <v>0.35159817351598172</v>
      </c>
      <c r="L52" s="10" t="s">
        <v>1230</v>
      </c>
      <c r="M52" s="7" t="s">
        <v>1231</v>
      </c>
    </row>
    <row r="53" spans="1:13" ht="22.5" x14ac:dyDescent="0.25">
      <c r="A53" s="6" t="s">
        <v>69</v>
      </c>
      <c r="B53" s="6">
        <v>5.4</v>
      </c>
      <c r="C53" s="7" t="s">
        <v>67</v>
      </c>
      <c r="D53" s="10" t="s">
        <v>90</v>
      </c>
      <c r="E53" s="10" t="s">
        <v>92</v>
      </c>
      <c r="F53" s="9" t="s">
        <v>1210</v>
      </c>
      <c r="G53" s="9">
        <v>15</v>
      </c>
      <c r="H53" s="8">
        <v>4</v>
      </c>
      <c r="I53" s="48">
        <v>2</v>
      </c>
      <c r="J53" s="12">
        <f>365/7*6</f>
        <v>312.85714285714289</v>
      </c>
      <c r="K53" s="13">
        <f t="shared" si="1"/>
        <v>9.5890410958904104E-2</v>
      </c>
      <c r="L53" s="10" t="s">
        <v>1232</v>
      </c>
      <c r="M53" s="8" t="s">
        <v>1233</v>
      </c>
    </row>
    <row r="54" spans="1:13" ht="22.5" x14ac:dyDescent="0.25">
      <c r="A54" s="6" t="s">
        <v>69</v>
      </c>
      <c r="B54" s="6">
        <v>5.4</v>
      </c>
      <c r="C54" s="7" t="s">
        <v>67</v>
      </c>
      <c r="D54" s="10" t="s">
        <v>90</v>
      </c>
      <c r="E54" s="10" t="s">
        <v>93</v>
      </c>
      <c r="F54" s="9" t="s">
        <v>79</v>
      </c>
      <c r="G54" s="9">
        <v>32</v>
      </c>
      <c r="H54" s="8">
        <v>32</v>
      </c>
      <c r="I54" s="48">
        <v>1</v>
      </c>
      <c r="J54" s="12">
        <f>25*(365/7)</f>
        <v>1303.5714285714287</v>
      </c>
      <c r="K54" s="13">
        <f t="shared" si="1"/>
        <v>2.4547945205479451E-2</v>
      </c>
      <c r="L54" s="10" t="s">
        <v>1234</v>
      </c>
      <c r="M54" s="18" t="s">
        <v>1235</v>
      </c>
    </row>
    <row r="55" spans="1:13" ht="33.75" x14ac:dyDescent="0.25">
      <c r="A55" s="6" t="s">
        <v>69</v>
      </c>
      <c r="B55" s="6">
        <v>5.4</v>
      </c>
      <c r="C55" s="7" t="s">
        <v>67</v>
      </c>
      <c r="D55" s="8" t="s">
        <v>90</v>
      </c>
      <c r="E55" s="8" t="s">
        <v>94</v>
      </c>
      <c r="F55" s="9" t="s">
        <v>21</v>
      </c>
      <c r="G55" s="9">
        <v>2.5688705234159781</v>
      </c>
      <c r="H55" s="8">
        <v>2</v>
      </c>
      <c r="I55" s="48">
        <v>1</v>
      </c>
      <c r="J55" s="33">
        <f>365/7*20</f>
        <v>1042.8571428571429</v>
      </c>
      <c r="K55" s="13">
        <f t="shared" si="1"/>
        <v>2.4633005019057326E-3</v>
      </c>
      <c r="L55" s="8" t="s">
        <v>192</v>
      </c>
      <c r="M55" s="8" t="s">
        <v>193</v>
      </c>
    </row>
    <row r="56" spans="1:13" ht="22.5" x14ac:dyDescent="0.25">
      <c r="A56" s="6" t="s">
        <v>69</v>
      </c>
      <c r="B56" s="6">
        <v>5.4</v>
      </c>
      <c r="C56" s="7" t="s">
        <v>67</v>
      </c>
      <c r="D56" s="10" t="s">
        <v>90</v>
      </c>
      <c r="E56" s="8" t="s">
        <v>194</v>
      </c>
      <c r="F56" s="9" t="s">
        <v>1131</v>
      </c>
      <c r="G56" s="30">
        <v>2</v>
      </c>
      <c r="H56" s="8">
        <v>1</v>
      </c>
      <c r="I56" s="41">
        <v>8</v>
      </c>
      <c r="J56" s="12">
        <f>365/7*2</f>
        <v>104.28571428571429</v>
      </c>
      <c r="K56" s="13">
        <f t="shared" si="1"/>
        <v>0.15342465753424656</v>
      </c>
      <c r="L56" s="10" t="s">
        <v>1236</v>
      </c>
      <c r="M56" s="49" t="s">
        <v>1237</v>
      </c>
    </row>
    <row r="57" spans="1:13" ht="22.5" x14ac:dyDescent="0.25">
      <c r="A57" s="6" t="s">
        <v>69</v>
      </c>
      <c r="B57" s="6">
        <v>5.4</v>
      </c>
      <c r="C57" s="7" t="s">
        <v>67</v>
      </c>
      <c r="D57" s="10" t="s">
        <v>90</v>
      </c>
      <c r="E57" s="8" t="s">
        <v>96</v>
      </c>
      <c r="F57" s="9" t="s">
        <v>1131</v>
      </c>
      <c r="G57" s="30">
        <v>2.5</v>
      </c>
      <c r="H57" s="8">
        <v>1</v>
      </c>
      <c r="I57" s="41">
        <v>8</v>
      </c>
      <c r="J57" s="12">
        <f>365/7*2</f>
        <v>104.28571428571429</v>
      </c>
      <c r="K57" s="13">
        <f t="shared" si="1"/>
        <v>0.19178082191780821</v>
      </c>
      <c r="L57" s="10" t="s">
        <v>1238</v>
      </c>
      <c r="M57" s="7" t="s">
        <v>1239</v>
      </c>
    </row>
    <row r="58" spans="1:13" ht="33.75" x14ac:dyDescent="0.25">
      <c r="A58" s="6" t="s">
        <v>69</v>
      </c>
      <c r="B58" s="6">
        <v>5.4</v>
      </c>
      <c r="C58" s="7" t="s">
        <v>67</v>
      </c>
      <c r="D58" s="10" t="s">
        <v>90</v>
      </c>
      <c r="E58" s="8" t="s">
        <v>195</v>
      </c>
      <c r="F58" s="8" t="s">
        <v>27</v>
      </c>
      <c r="G58" s="9">
        <v>4.6239669421487601</v>
      </c>
      <c r="H58" s="8">
        <v>2</v>
      </c>
      <c r="I58" s="48">
        <v>1</v>
      </c>
      <c r="J58" s="34">
        <f>365/7*20</f>
        <v>1042.8571428571429</v>
      </c>
      <c r="K58" s="13">
        <f t="shared" si="1"/>
        <v>4.4339409034303175E-3</v>
      </c>
      <c r="L58" s="10" t="s">
        <v>325</v>
      </c>
      <c r="M58" s="6" t="s">
        <v>97</v>
      </c>
    </row>
    <row r="59" spans="1:13" ht="33.75" x14ac:dyDescent="0.25">
      <c r="A59" s="10" t="s">
        <v>69</v>
      </c>
      <c r="B59" s="28">
        <v>5.4</v>
      </c>
      <c r="C59" s="7" t="s">
        <v>67</v>
      </c>
      <c r="D59" s="10" t="s">
        <v>85</v>
      </c>
      <c r="E59" s="8" t="s">
        <v>196</v>
      </c>
      <c r="F59" s="9" t="s">
        <v>21</v>
      </c>
      <c r="G59" s="9">
        <v>3.5964187327823693</v>
      </c>
      <c r="H59" s="8">
        <v>1</v>
      </c>
      <c r="I59" s="48">
        <v>1</v>
      </c>
      <c r="J59" s="33">
        <f>365/7*20</f>
        <v>1042.8571428571429</v>
      </c>
      <c r="K59" s="13">
        <f t="shared" si="1"/>
        <v>3.4486207026680252E-3</v>
      </c>
      <c r="L59" s="8" t="s">
        <v>326</v>
      </c>
      <c r="M59" s="8" t="s">
        <v>197</v>
      </c>
    </row>
    <row r="60" spans="1:13" ht="22.5" x14ac:dyDescent="0.25">
      <c r="A60" s="10" t="s">
        <v>69</v>
      </c>
      <c r="B60" s="28">
        <v>5.6</v>
      </c>
      <c r="C60" s="7" t="s">
        <v>67</v>
      </c>
      <c r="D60" s="10" t="s">
        <v>85</v>
      </c>
      <c r="E60" s="8" t="s">
        <v>198</v>
      </c>
      <c r="F60" s="9" t="s">
        <v>28</v>
      </c>
      <c r="G60" s="9">
        <v>1.0275482093663912</v>
      </c>
      <c r="H60" s="8">
        <v>50</v>
      </c>
      <c r="I60" s="48">
        <v>2</v>
      </c>
      <c r="J60" s="33">
        <f>365/7</f>
        <v>52.142857142857146</v>
      </c>
      <c r="K60" s="13">
        <f t="shared" si="1"/>
        <v>3.9412808030491714E-2</v>
      </c>
      <c r="L60" s="10" t="s">
        <v>327</v>
      </c>
      <c r="M60" s="18" t="s">
        <v>199</v>
      </c>
    </row>
    <row r="61" spans="1:13" ht="22.5" x14ac:dyDescent="0.25">
      <c r="A61" s="6" t="s">
        <v>69</v>
      </c>
      <c r="B61" s="6">
        <v>5.3</v>
      </c>
      <c r="C61" s="7" t="s">
        <v>67</v>
      </c>
      <c r="D61" s="10" t="s">
        <v>98</v>
      </c>
      <c r="E61" s="8" t="s">
        <v>99</v>
      </c>
      <c r="F61" s="9" t="s">
        <v>200</v>
      </c>
      <c r="G61" s="30">
        <v>69.989999999999995</v>
      </c>
      <c r="H61" s="41">
        <v>1</v>
      </c>
      <c r="I61" s="35">
        <v>1</v>
      </c>
      <c r="J61" s="33">
        <f>365/7*10</f>
        <v>521.42857142857144</v>
      </c>
      <c r="K61" s="13">
        <f t="shared" si="1"/>
        <v>0.13422739726027397</v>
      </c>
      <c r="L61" s="10" t="s">
        <v>1262</v>
      </c>
      <c r="M61" s="7" t="s">
        <v>1263</v>
      </c>
    </row>
    <row r="62" spans="1:13" ht="22.5" x14ac:dyDescent="0.25">
      <c r="A62" s="6" t="s">
        <v>69</v>
      </c>
      <c r="B62" s="6">
        <v>5.3</v>
      </c>
      <c r="C62" s="7" t="s">
        <v>67</v>
      </c>
      <c r="D62" s="10" t="s">
        <v>98</v>
      </c>
      <c r="E62" s="10" t="s">
        <v>100</v>
      </c>
      <c r="F62" s="24" t="s">
        <v>200</v>
      </c>
      <c r="G62" s="30">
        <v>1199.97</v>
      </c>
      <c r="H62" s="10">
        <v>1</v>
      </c>
      <c r="I62" s="45">
        <v>1</v>
      </c>
      <c r="J62" s="45">
        <f>365/7*10</f>
        <v>521.42857142857144</v>
      </c>
      <c r="K62" s="13">
        <f t="shared" si="1"/>
        <v>2.3013123287671231</v>
      </c>
      <c r="L62" s="10" t="s">
        <v>1245</v>
      </c>
      <c r="M62" s="7" t="s">
        <v>1246</v>
      </c>
    </row>
    <row r="63" spans="1:13" ht="22.5" x14ac:dyDescent="0.25">
      <c r="A63" s="6" t="s">
        <v>69</v>
      </c>
      <c r="B63" s="6">
        <v>5.3</v>
      </c>
      <c r="C63" s="7" t="s">
        <v>67</v>
      </c>
      <c r="D63" s="10" t="s">
        <v>98</v>
      </c>
      <c r="E63" s="10" t="s">
        <v>1247</v>
      </c>
      <c r="F63" s="24" t="s">
        <v>200</v>
      </c>
      <c r="G63" s="30">
        <v>399</v>
      </c>
      <c r="H63" s="10">
        <v>1</v>
      </c>
      <c r="I63" s="45">
        <v>1</v>
      </c>
      <c r="J63" s="45">
        <f>365/7*10</f>
        <v>521.42857142857144</v>
      </c>
      <c r="K63" s="13">
        <f t="shared" si="1"/>
        <v>0.76520547945205475</v>
      </c>
      <c r="L63" s="10" t="s">
        <v>1249</v>
      </c>
      <c r="M63" s="7" t="s">
        <v>1250</v>
      </c>
    </row>
    <row r="64" spans="1:13" ht="22.5" x14ac:dyDescent="0.25">
      <c r="A64" s="6" t="s">
        <v>1143</v>
      </c>
      <c r="B64" s="6">
        <v>5.3</v>
      </c>
      <c r="C64" s="7" t="s">
        <v>67</v>
      </c>
      <c r="D64" s="10" t="s">
        <v>98</v>
      </c>
      <c r="E64" s="10" t="s">
        <v>1248</v>
      </c>
      <c r="F64" s="24" t="s">
        <v>200</v>
      </c>
      <c r="G64" s="30">
        <v>579</v>
      </c>
      <c r="H64" s="10">
        <v>1</v>
      </c>
      <c r="I64" s="45">
        <v>1</v>
      </c>
      <c r="J64" s="45">
        <f>365/7*15</f>
        <v>782.14285714285722</v>
      </c>
      <c r="K64" s="13">
        <f t="shared" si="1"/>
        <v>0.74027397260273964</v>
      </c>
      <c r="L64" s="10" t="s">
        <v>1251</v>
      </c>
      <c r="M64" s="7" t="s">
        <v>1253</v>
      </c>
    </row>
    <row r="65" spans="1:13" ht="22.5" x14ac:dyDescent="0.25">
      <c r="A65" s="6" t="s">
        <v>69</v>
      </c>
      <c r="B65" s="6">
        <v>5.3</v>
      </c>
      <c r="C65" s="7" t="s">
        <v>67</v>
      </c>
      <c r="D65" s="28" t="s">
        <v>98</v>
      </c>
      <c r="E65" s="28" t="s">
        <v>101</v>
      </c>
      <c r="F65" s="24"/>
      <c r="G65" s="30"/>
      <c r="H65" s="10"/>
      <c r="I65" s="45"/>
      <c r="J65" s="45"/>
      <c r="K65" s="13">
        <v>0</v>
      </c>
      <c r="L65" s="29" t="s">
        <v>1244</v>
      </c>
      <c r="M65" s="7"/>
    </row>
    <row r="66" spans="1:13" ht="22.5" x14ac:dyDescent="0.25">
      <c r="A66" s="6" t="s">
        <v>69</v>
      </c>
      <c r="B66" s="6">
        <v>5.3</v>
      </c>
      <c r="C66" s="7" t="s">
        <v>67</v>
      </c>
      <c r="D66" s="10" t="s">
        <v>98</v>
      </c>
      <c r="E66" s="10" t="s">
        <v>102</v>
      </c>
      <c r="F66" s="24" t="s">
        <v>200</v>
      </c>
      <c r="G66" s="30">
        <v>479</v>
      </c>
      <c r="H66" s="10">
        <v>1</v>
      </c>
      <c r="I66" s="45">
        <v>1</v>
      </c>
      <c r="J66" s="45">
        <f>365/7*10</f>
        <v>521.42857142857144</v>
      </c>
      <c r="K66" s="13">
        <f t="shared" ref="K66:K97" si="2">G66*I66/J66</f>
        <v>0.91863013698630136</v>
      </c>
      <c r="L66" s="10" t="s">
        <v>1251</v>
      </c>
      <c r="M66" s="7" t="s">
        <v>1252</v>
      </c>
    </row>
    <row r="67" spans="1:13" ht="22.5" x14ac:dyDescent="0.25">
      <c r="A67" s="6" t="s">
        <v>69</v>
      </c>
      <c r="B67" s="6">
        <v>5.3</v>
      </c>
      <c r="C67" s="7" t="s">
        <v>67</v>
      </c>
      <c r="D67" s="10" t="s">
        <v>98</v>
      </c>
      <c r="E67" s="10" t="s">
        <v>103</v>
      </c>
      <c r="F67" s="24" t="s">
        <v>200</v>
      </c>
      <c r="G67" s="42">
        <v>34.99</v>
      </c>
      <c r="H67" s="10">
        <v>1</v>
      </c>
      <c r="I67" s="45">
        <v>1</v>
      </c>
      <c r="J67" s="45">
        <f>365/7*4</f>
        <v>208.57142857142858</v>
      </c>
      <c r="K67" s="13">
        <f t="shared" si="2"/>
        <v>0.16776027397260274</v>
      </c>
      <c r="L67" s="10" t="s">
        <v>1254</v>
      </c>
      <c r="M67" s="18" t="s">
        <v>1256</v>
      </c>
    </row>
    <row r="68" spans="1:13" ht="22.5" x14ac:dyDescent="0.25">
      <c r="A68" s="6" t="s">
        <v>69</v>
      </c>
      <c r="B68" s="6">
        <v>5.3</v>
      </c>
      <c r="C68" s="7" t="s">
        <v>67</v>
      </c>
      <c r="D68" s="10" t="s">
        <v>98</v>
      </c>
      <c r="E68" s="10" t="s">
        <v>104</v>
      </c>
      <c r="F68" s="24" t="s">
        <v>200</v>
      </c>
      <c r="G68" s="42">
        <v>21.99</v>
      </c>
      <c r="H68" s="10">
        <v>1</v>
      </c>
      <c r="I68" s="45">
        <v>1</v>
      </c>
      <c r="J68" s="45">
        <f>365/7*3</f>
        <v>156.42857142857144</v>
      </c>
      <c r="K68" s="13">
        <f t="shared" si="2"/>
        <v>0.1405753424657534</v>
      </c>
      <c r="L68" s="10" t="s">
        <v>1254</v>
      </c>
      <c r="M68" s="18" t="s">
        <v>1255</v>
      </c>
    </row>
    <row r="69" spans="1:13" ht="22.5" x14ac:dyDescent="0.25">
      <c r="A69" s="6" t="s">
        <v>69</v>
      </c>
      <c r="B69" s="6">
        <v>5.3</v>
      </c>
      <c r="C69" s="7" t="s">
        <v>67</v>
      </c>
      <c r="D69" s="8" t="s">
        <v>98</v>
      </c>
      <c r="E69" s="8" t="s">
        <v>201</v>
      </c>
      <c r="F69" s="9" t="s">
        <v>50</v>
      </c>
      <c r="G69" s="30">
        <v>27</v>
      </c>
      <c r="H69" s="8">
        <v>1</v>
      </c>
      <c r="I69" s="41">
        <v>1</v>
      </c>
      <c r="J69" s="33">
        <f>365/7*10</f>
        <v>521.42857142857144</v>
      </c>
      <c r="K69" s="13">
        <f t="shared" si="2"/>
        <v>5.1780821917808216E-2</v>
      </c>
      <c r="L69" s="8" t="s">
        <v>1257</v>
      </c>
      <c r="M69" s="7" t="s">
        <v>1258</v>
      </c>
    </row>
    <row r="70" spans="1:13" ht="22.5" x14ac:dyDescent="0.25">
      <c r="A70" s="6" t="s">
        <v>69</v>
      </c>
      <c r="B70" s="6">
        <v>5.3</v>
      </c>
      <c r="C70" s="7" t="s">
        <v>67</v>
      </c>
      <c r="D70" s="8" t="s">
        <v>98</v>
      </c>
      <c r="E70" s="8" t="s">
        <v>1259</v>
      </c>
      <c r="F70" s="9" t="s">
        <v>200</v>
      </c>
      <c r="G70" s="30">
        <v>79.989999999999995</v>
      </c>
      <c r="H70" s="8">
        <v>1</v>
      </c>
      <c r="I70" s="41">
        <v>1</v>
      </c>
      <c r="J70" s="33">
        <f>365/7*5</f>
        <v>260.71428571428572</v>
      </c>
      <c r="K70" s="13">
        <f t="shared" si="2"/>
        <v>0.30681095890410959</v>
      </c>
      <c r="L70" s="8" t="s">
        <v>1260</v>
      </c>
      <c r="M70" s="7" t="s">
        <v>1261</v>
      </c>
    </row>
    <row r="71" spans="1:13" ht="22.5" x14ac:dyDescent="0.25">
      <c r="A71" s="6" t="s">
        <v>69</v>
      </c>
      <c r="B71" s="6">
        <v>5.3</v>
      </c>
      <c r="C71" s="7" t="s">
        <v>67</v>
      </c>
      <c r="D71" s="8" t="s">
        <v>98</v>
      </c>
      <c r="E71" s="8" t="s">
        <v>1279</v>
      </c>
      <c r="F71" s="9" t="s">
        <v>50</v>
      </c>
      <c r="G71" s="30">
        <v>55</v>
      </c>
      <c r="H71" s="8">
        <v>1</v>
      </c>
      <c r="I71" s="41">
        <v>1</v>
      </c>
      <c r="J71" s="33">
        <f>365/7*25</f>
        <v>1303.5714285714287</v>
      </c>
      <c r="K71" s="13">
        <f t="shared" si="2"/>
        <v>4.2191780821917803E-2</v>
      </c>
      <c r="L71" s="8" t="s">
        <v>1280</v>
      </c>
      <c r="M71" s="7" t="s">
        <v>1281</v>
      </c>
    </row>
    <row r="72" spans="1:13" ht="22.5" x14ac:dyDescent="0.25">
      <c r="A72" s="6" t="s">
        <v>69</v>
      </c>
      <c r="B72" s="6">
        <v>5.3</v>
      </c>
      <c r="C72" s="7" t="s">
        <v>67</v>
      </c>
      <c r="D72" s="8" t="s">
        <v>98</v>
      </c>
      <c r="E72" s="8" t="s">
        <v>1282</v>
      </c>
      <c r="F72" s="9" t="s">
        <v>50</v>
      </c>
      <c r="G72" s="30">
        <v>109</v>
      </c>
      <c r="H72" s="8">
        <v>1</v>
      </c>
      <c r="I72" s="41">
        <v>1</v>
      </c>
      <c r="J72" s="33">
        <f>365/7*10</f>
        <v>521.42857142857144</v>
      </c>
      <c r="K72" s="13">
        <f t="shared" si="2"/>
        <v>0.20904109589041095</v>
      </c>
      <c r="L72" s="8" t="s">
        <v>1283</v>
      </c>
      <c r="M72" s="7" t="s">
        <v>1284</v>
      </c>
    </row>
    <row r="73" spans="1:13" ht="33.75" x14ac:dyDescent="0.25">
      <c r="A73" s="50" t="s">
        <v>69</v>
      </c>
      <c r="B73" s="50">
        <v>5.3</v>
      </c>
      <c r="C73" s="7" t="s">
        <v>67</v>
      </c>
      <c r="D73" s="10" t="s">
        <v>110</v>
      </c>
      <c r="E73" s="10" t="s">
        <v>105</v>
      </c>
      <c r="F73" s="24" t="s">
        <v>95</v>
      </c>
      <c r="G73" s="24">
        <v>26.327800829875521</v>
      </c>
      <c r="H73" s="10">
        <v>1</v>
      </c>
      <c r="I73" s="44">
        <v>1</v>
      </c>
      <c r="J73" s="44">
        <f>365/7*10</f>
        <v>521.42857142857144</v>
      </c>
      <c r="K73" s="13">
        <f t="shared" si="2"/>
        <v>5.0491672824418805E-2</v>
      </c>
      <c r="L73" s="10" t="s">
        <v>328</v>
      </c>
      <c r="M73" s="10" t="s">
        <v>106</v>
      </c>
    </row>
    <row r="74" spans="1:13" ht="22.5" x14ac:dyDescent="0.25">
      <c r="A74" s="6" t="s">
        <v>69</v>
      </c>
      <c r="B74" s="6">
        <v>5.4</v>
      </c>
      <c r="C74" s="7" t="s">
        <v>67</v>
      </c>
      <c r="D74" s="7" t="s">
        <v>107</v>
      </c>
      <c r="E74" s="7" t="s">
        <v>108</v>
      </c>
      <c r="F74" s="9" t="s">
        <v>1210</v>
      </c>
      <c r="G74" s="30">
        <v>105</v>
      </c>
      <c r="H74" s="10">
        <v>5</v>
      </c>
      <c r="I74" s="45">
        <v>1</v>
      </c>
      <c r="J74" s="45">
        <f>365/7*20</f>
        <v>1042.8571428571429</v>
      </c>
      <c r="K74" s="13">
        <f t="shared" si="2"/>
        <v>0.10068493150684932</v>
      </c>
      <c r="L74" s="10" t="s">
        <v>1264</v>
      </c>
      <c r="M74" s="8" t="s">
        <v>1265</v>
      </c>
    </row>
    <row r="75" spans="1:13" ht="33.75" x14ac:dyDescent="0.25">
      <c r="A75" s="50" t="s">
        <v>69</v>
      </c>
      <c r="B75" s="50">
        <v>5.4</v>
      </c>
      <c r="C75" s="7" t="s">
        <v>67</v>
      </c>
      <c r="D75" s="10" t="s">
        <v>107</v>
      </c>
      <c r="E75" s="10" t="s">
        <v>109</v>
      </c>
      <c r="F75" s="24" t="s">
        <v>74</v>
      </c>
      <c r="G75" s="9">
        <v>46.239669421487605</v>
      </c>
      <c r="H75" s="10">
        <v>5</v>
      </c>
      <c r="I75" s="11">
        <v>1</v>
      </c>
      <c r="J75" s="45">
        <f>365/7*15</f>
        <v>782.14285714285722</v>
      </c>
      <c r="K75" s="13">
        <f t="shared" si="2"/>
        <v>5.9119212045737571E-2</v>
      </c>
      <c r="L75" s="10" t="s">
        <v>329</v>
      </c>
      <c r="M75" s="7" t="s">
        <v>202</v>
      </c>
    </row>
    <row r="76" spans="1:13" ht="22.5" x14ac:dyDescent="0.25">
      <c r="A76" s="50" t="s">
        <v>69</v>
      </c>
      <c r="B76" s="50">
        <v>5.4</v>
      </c>
      <c r="C76" s="7" t="s">
        <v>67</v>
      </c>
      <c r="D76" s="10" t="s">
        <v>107</v>
      </c>
      <c r="E76" s="8" t="s">
        <v>203</v>
      </c>
      <c r="F76" s="9" t="s">
        <v>50</v>
      </c>
      <c r="G76" s="30">
        <v>10</v>
      </c>
      <c r="H76" s="8">
        <v>1</v>
      </c>
      <c r="I76" s="32">
        <v>1</v>
      </c>
      <c r="J76" s="12">
        <f>365/7*15</f>
        <v>782.14285714285722</v>
      </c>
      <c r="K76" s="13">
        <f t="shared" si="2"/>
        <v>1.278538812785388E-2</v>
      </c>
      <c r="L76" s="8" t="s">
        <v>204</v>
      </c>
      <c r="M76" s="51" t="s">
        <v>1266</v>
      </c>
    </row>
    <row r="77" spans="1:13" ht="22.5" x14ac:dyDescent="0.25">
      <c r="A77" s="10" t="s">
        <v>69</v>
      </c>
      <c r="B77" s="6">
        <v>5.4</v>
      </c>
      <c r="C77" s="7" t="s">
        <v>67</v>
      </c>
      <c r="D77" s="10" t="s">
        <v>107</v>
      </c>
      <c r="E77" s="8" t="s">
        <v>205</v>
      </c>
      <c r="F77" s="9" t="s">
        <v>79</v>
      </c>
      <c r="G77" s="30">
        <v>10</v>
      </c>
      <c r="H77" s="8">
        <v>1</v>
      </c>
      <c r="I77" s="32">
        <v>3</v>
      </c>
      <c r="J77" s="12">
        <f>365/7*5</f>
        <v>260.71428571428572</v>
      </c>
      <c r="K77" s="13">
        <f t="shared" si="2"/>
        <v>0.11506849315068493</v>
      </c>
      <c r="L77" s="10" t="s">
        <v>1267</v>
      </c>
      <c r="M77" s="7" t="s">
        <v>1268</v>
      </c>
    </row>
    <row r="78" spans="1:13" ht="22.5" x14ac:dyDescent="0.25">
      <c r="A78" s="8" t="s">
        <v>69</v>
      </c>
      <c r="B78" s="6">
        <v>5.4</v>
      </c>
      <c r="C78" s="7" t="s">
        <v>67</v>
      </c>
      <c r="D78" s="8" t="s">
        <v>107</v>
      </c>
      <c r="E78" s="8" t="s">
        <v>111</v>
      </c>
      <c r="F78" s="9" t="s">
        <v>79</v>
      </c>
      <c r="G78" s="30">
        <v>15</v>
      </c>
      <c r="H78" s="8">
        <v>1</v>
      </c>
      <c r="I78" s="32">
        <v>2</v>
      </c>
      <c r="J78" s="12">
        <f>365/7*5</f>
        <v>260.71428571428572</v>
      </c>
      <c r="K78" s="13">
        <f t="shared" si="2"/>
        <v>0.11506849315068493</v>
      </c>
      <c r="L78" s="10" t="s">
        <v>1269</v>
      </c>
      <c r="M78" s="7" t="s">
        <v>1270</v>
      </c>
    </row>
    <row r="79" spans="1:13" ht="22.5" x14ac:dyDescent="0.25">
      <c r="A79" s="8" t="s">
        <v>69</v>
      </c>
      <c r="B79" s="6">
        <v>5.4</v>
      </c>
      <c r="C79" s="7" t="s">
        <v>67</v>
      </c>
      <c r="D79" s="8" t="s">
        <v>107</v>
      </c>
      <c r="E79" s="8" t="s">
        <v>112</v>
      </c>
      <c r="F79" s="9" t="s">
        <v>79</v>
      </c>
      <c r="G79" s="30">
        <v>10</v>
      </c>
      <c r="H79" s="8">
        <v>1</v>
      </c>
      <c r="I79" s="32">
        <v>1</v>
      </c>
      <c r="J79" s="12">
        <f>365/7*5</f>
        <v>260.71428571428572</v>
      </c>
      <c r="K79" s="13">
        <f t="shared" si="2"/>
        <v>3.8356164383561646E-2</v>
      </c>
      <c r="L79" s="10" t="s">
        <v>1271</v>
      </c>
      <c r="M79" s="7" t="s">
        <v>1272</v>
      </c>
    </row>
    <row r="80" spans="1:13" ht="22.5" x14ac:dyDescent="0.25">
      <c r="A80" s="10" t="s">
        <v>69</v>
      </c>
      <c r="B80" s="6">
        <v>5.4</v>
      </c>
      <c r="C80" s="7" t="s">
        <v>67</v>
      </c>
      <c r="D80" s="10" t="s">
        <v>107</v>
      </c>
      <c r="E80" s="10" t="s">
        <v>113</v>
      </c>
      <c r="F80" s="9" t="s">
        <v>79</v>
      </c>
      <c r="G80" s="42">
        <v>7</v>
      </c>
      <c r="H80" s="10">
        <v>1</v>
      </c>
      <c r="I80" s="11">
        <v>2</v>
      </c>
      <c r="J80" s="45">
        <f>365/7*5</f>
        <v>260.71428571428572</v>
      </c>
      <c r="K80" s="13">
        <f t="shared" si="2"/>
        <v>5.3698630136986301E-2</v>
      </c>
      <c r="L80" s="10" t="s">
        <v>1273</v>
      </c>
      <c r="M80" s="7" t="s">
        <v>1274</v>
      </c>
    </row>
    <row r="81" spans="1:13" ht="22.5" x14ac:dyDescent="0.25">
      <c r="A81" s="10" t="s">
        <v>69</v>
      </c>
      <c r="B81" s="6">
        <v>5.4</v>
      </c>
      <c r="C81" s="7" t="s">
        <v>67</v>
      </c>
      <c r="D81" s="10" t="s">
        <v>107</v>
      </c>
      <c r="E81" s="8" t="s">
        <v>206</v>
      </c>
      <c r="F81" s="9" t="s">
        <v>79</v>
      </c>
      <c r="G81" s="30">
        <v>10</v>
      </c>
      <c r="H81" s="8">
        <v>1</v>
      </c>
      <c r="I81" s="32">
        <v>1</v>
      </c>
      <c r="J81" s="12">
        <f>365/7*5</f>
        <v>260.71428571428572</v>
      </c>
      <c r="K81" s="13">
        <f t="shared" si="2"/>
        <v>3.8356164383561646E-2</v>
      </c>
      <c r="L81" s="8" t="s">
        <v>330</v>
      </c>
      <c r="M81" s="7" t="s">
        <v>1275</v>
      </c>
    </row>
    <row r="82" spans="1:13" ht="56.25" x14ac:dyDescent="0.25">
      <c r="A82" s="10" t="s">
        <v>69</v>
      </c>
      <c r="B82" s="50">
        <v>5.4</v>
      </c>
      <c r="C82" s="7" t="s">
        <v>67</v>
      </c>
      <c r="D82" s="10" t="s">
        <v>107</v>
      </c>
      <c r="E82" s="10" t="s">
        <v>116</v>
      </c>
      <c r="F82" s="24" t="s">
        <v>79</v>
      </c>
      <c r="G82" s="9">
        <v>3.5964187327823693</v>
      </c>
      <c r="H82" s="10">
        <v>1</v>
      </c>
      <c r="I82" s="11">
        <v>1</v>
      </c>
      <c r="J82" s="45">
        <f>365/7*20</f>
        <v>1042.8571428571429</v>
      </c>
      <c r="K82" s="13">
        <f t="shared" si="2"/>
        <v>3.4486207026680252E-3</v>
      </c>
      <c r="L82" s="10" t="s">
        <v>331</v>
      </c>
      <c r="M82" s="7" t="s">
        <v>117</v>
      </c>
    </row>
    <row r="83" spans="1:13" ht="22.5" x14ac:dyDescent="0.25">
      <c r="A83" s="10" t="s">
        <v>69</v>
      </c>
      <c r="B83" s="50">
        <v>5.4</v>
      </c>
      <c r="C83" s="7" t="s">
        <v>67</v>
      </c>
      <c r="D83" s="10" t="s">
        <v>110</v>
      </c>
      <c r="E83" s="8" t="s">
        <v>114</v>
      </c>
      <c r="F83" s="8" t="s">
        <v>50</v>
      </c>
      <c r="G83" s="9">
        <v>4.8808539944903586</v>
      </c>
      <c r="H83" s="8"/>
      <c r="I83" s="41">
        <v>1</v>
      </c>
      <c r="J83" s="33">
        <f>365/7*35</f>
        <v>1825</v>
      </c>
      <c r="K83" s="13">
        <f t="shared" si="2"/>
        <v>2.6744405449262241E-3</v>
      </c>
      <c r="L83" s="10" t="s">
        <v>332</v>
      </c>
      <c r="M83" s="8" t="s">
        <v>207</v>
      </c>
    </row>
    <row r="84" spans="1:13" ht="22.5" x14ac:dyDescent="0.25">
      <c r="A84" s="8" t="s">
        <v>69</v>
      </c>
      <c r="B84" s="6">
        <v>5.4</v>
      </c>
      <c r="C84" s="7" t="s">
        <v>67</v>
      </c>
      <c r="D84" s="8" t="s">
        <v>107</v>
      </c>
      <c r="E84" s="8" t="s">
        <v>115</v>
      </c>
      <c r="F84" s="8" t="s">
        <v>50</v>
      </c>
      <c r="G84" s="9">
        <v>2.5688705234159781</v>
      </c>
      <c r="H84" s="8"/>
      <c r="I84" s="41">
        <v>1</v>
      </c>
      <c r="J84" s="33">
        <f>365/7*15</f>
        <v>782.14285714285722</v>
      </c>
      <c r="K84" s="13">
        <f t="shared" si="2"/>
        <v>3.2844006692076427E-3</v>
      </c>
      <c r="L84" s="8" t="s">
        <v>333</v>
      </c>
      <c r="M84" s="18" t="s">
        <v>208</v>
      </c>
    </row>
    <row r="85" spans="1:13" ht="33.75" x14ac:dyDescent="0.25">
      <c r="A85" s="10" t="s">
        <v>69</v>
      </c>
      <c r="B85" s="6">
        <v>5.4</v>
      </c>
      <c r="C85" s="7" t="s">
        <v>67</v>
      </c>
      <c r="D85" s="10" t="s">
        <v>107</v>
      </c>
      <c r="E85" s="8" t="s">
        <v>209</v>
      </c>
      <c r="F85" s="8" t="s">
        <v>74</v>
      </c>
      <c r="G85" s="9">
        <v>16.44077134986226</v>
      </c>
      <c r="H85" s="8">
        <v>3</v>
      </c>
      <c r="I85" s="32">
        <v>1</v>
      </c>
      <c r="J85" s="33">
        <f>365/7*35</f>
        <v>1825</v>
      </c>
      <c r="K85" s="13">
        <f t="shared" si="2"/>
        <v>9.0086418355409641E-3</v>
      </c>
      <c r="L85" s="10" t="s">
        <v>334</v>
      </c>
      <c r="M85" s="7" t="s">
        <v>210</v>
      </c>
    </row>
    <row r="86" spans="1:13" ht="22.5" x14ac:dyDescent="0.25">
      <c r="A86" s="10" t="s">
        <v>69</v>
      </c>
      <c r="B86" s="6">
        <v>5.4</v>
      </c>
      <c r="C86" s="7" t="s">
        <v>67</v>
      </c>
      <c r="D86" s="10" t="s">
        <v>107</v>
      </c>
      <c r="E86" s="8" t="s">
        <v>211</v>
      </c>
      <c r="F86" s="8" t="s">
        <v>50</v>
      </c>
      <c r="G86" s="9">
        <v>3.5964187327823693</v>
      </c>
      <c r="H86" s="8">
        <v>1</v>
      </c>
      <c r="I86" s="32">
        <v>1</v>
      </c>
      <c r="J86" s="33">
        <f>365/7*15</f>
        <v>782.14285714285722</v>
      </c>
      <c r="K86" s="13">
        <f t="shared" si="2"/>
        <v>4.5981609368907E-3</v>
      </c>
      <c r="L86" s="10" t="s">
        <v>335</v>
      </c>
      <c r="M86" s="7" t="s">
        <v>212</v>
      </c>
    </row>
    <row r="87" spans="1:13" ht="101.25" x14ac:dyDescent="0.25">
      <c r="A87" s="10" t="s">
        <v>69</v>
      </c>
      <c r="B87" s="6">
        <v>5.4</v>
      </c>
      <c r="C87" s="7" t="s">
        <v>67</v>
      </c>
      <c r="D87" s="10" t="s">
        <v>110</v>
      </c>
      <c r="E87" s="10" t="s">
        <v>118</v>
      </c>
      <c r="F87" s="24" t="s">
        <v>74</v>
      </c>
      <c r="G87" s="9">
        <v>18.495867768595041</v>
      </c>
      <c r="H87" s="10">
        <v>8</v>
      </c>
      <c r="I87" s="11">
        <v>1</v>
      </c>
      <c r="J87" s="45">
        <f>365/7*10</f>
        <v>521.42857142857144</v>
      </c>
      <c r="K87" s="13">
        <f t="shared" si="2"/>
        <v>3.547152722744254E-2</v>
      </c>
      <c r="L87" s="10" t="s">
        <v>336</v>
      </c>
      <c r="M87" s="7" t="s">
        <v>213</v>
      </c>
    </row>
    <row r="88" spans="1:13" ht="22.5" x14ac:dyDescent="0.25">
      <c r="A88" s="10" t="s">
        <v>69</v>
      </c>
      <c r="B88" s="6">
        <v>5.4</v>
      </c>
      <c r="C88" s="7" t="s">
        <v>67</v>
      </c>
      <c r="D88" s="10" t="s">
        <v>110</v>
      </c>
      <c r="E88" s="10" t="s">
        <v>214</v>
      </c>
      <c r="F88" s="24" t="s">
        <v>50</v>
      </c>
      <c r="G88" s="9">
        <v>0.51377410468319562</v>
      </c>
      <c r="H88" s="10">
        <v>1</v>
      </c>
      <c r="I88" s="11">
        <v>3</v>
      </c>
      <c r="J88" s="45">
        <f>365/7*2</f>
        <v>104.28571428571429</v>
      </c>
      <c r="K88" s="13">
        <f t="shared" si="2"/>
        <v>1.4779803011434394E-2</v>
      </c>
      <c r="L88" s="8" t="s">
        <v>337</v>
      </c>
      <c r="M88" s="7" t="s">
        <v>215</v>
      </c>
    </row>
    <row r="89" spans="1:13" ht="33.75" x14ac:dyDescent="0.25">
      <c r="A89" s="10" t="s">
        <v>69</v>
      </c>
      <c r="B89" s="6">
        <v>5.4</v>
      </c>
      <c r="C89" s="7" t="s">
        <v>67</v>
      </c>
      <c r="D89" s="10" t="s">
        <v>110</v>
      </c>
      <c r="E89" s="7" t="s">
        <v>318</v>
      </c>
      <c r="F89" s="7" t="s">
        <v>50</v>
      </c>
      <c r="G89" s="9">
        <v>2.5688705234159781</v>
      </c>
      <c r="H89" s="35">
        <v>1</v>
      </c>
      <c r="I89" s="35">
        <v>2</v>
      </c>
      <c r="J89" s="34">
        <f>365/7*20</f>
        <v>1042.8571428571429</v>
      </c>
      <c r="K89" s="13">
        <f t="shared" si="2"/>
        <v>4.9266010038114651E-3</v>
      </c>
      <c r="L89" s="7" t="s">
        <v>233</v>
      </c>
      <c r="M89" s="7" t="s">
        <v>125</v>
      </c>
    </row>
    <row r="90" spans="1:13" ht="22.5" x14ac:dyDescent="0.25">
      <c r="A90" s="10" t="s">
        <v>69</v>
      </c>
      <c r="B90" s="6">
        <v>5.4</v>
      </c>
      <c r="C90" s="7" t="s">
        <v>67</v>
      </c>
      <c r="D90" s="10" t="s">
        <v>110</v>
      </c>
      <c r="E90" s="10" t="s">
        <v>121</v>
      </c>
      <c r="F90" s="24" t="s">
        <v>50</v>
      </c>
      <c r="G90" s="9">
        <v>3.0826446280991737</v>
      </c>
      <c r="H90" s="10">
        <v>1</v>
      </c>
      <c r="I90" s="11">
        <v>1</v>
      </c>
      <c r="J90" s="45">
        <f>365/7*4</f>
        <v>208.57142857142858</v>
      </c>
      <c r="K90" s="13">
        <f t="shared" si="2"/>
        <v>1.4779803011434394E-2</v>
      </c>
      <c r="L90" s="8" t="s">
        <v>338</v>
      </c>
      <c r="M90" s="7" t="s">
        <v>216</v>
      </c>
    </row>
    <row r="91" spans="1:13" ht="45" x14ac:dyDescent="0.25">
      <c r="A91" s="10" t="s">
        <v>69</v>
      </c>
      <c r="B91" s="6">
        <v>5.4</v>
      </c>
      <c r="C91" s="7" t="s">
        <v>67</v>
      </c>
      <c r="D91" s="10" t="s">
        <v>110</v>
      </c>
      <c r="E91" s="8" t="s">
        <v>217</v>
      </c>
      <c r="F91" s="9" t="s">
        <v>50</v>
      </c>
      <c r="G91" s="9">
        <v>10.275482093663912</v>
      </c>
      <c r="H91" s="8">
        <v>1</v>
      </c>
      <c r="I91" s="32">
        <v>1</v>
      </c>
      <c r="J91" s="12">
        <f>365/7*6</f>
        <v>312.85714285714289</v>
      </c>
      <c r="K91" s="13">
        <f t="shared" si="2"/>
        <v>3.2844006692076426E-2</v>
      </c>
      <c r="L91" s="10" t="s">
        <v>339</v>
      </c>
      <c r="M91" s="7" t="s">
        <v>218</v>
      </c>
    </row>
    <row r="92" spans="1:13" ht="22.5" x14ac:dyDescent="0.25">
      <c r="A92" s="10" t="s">
        <v>69</v>
      </c>
      <c r="B92" s="6">
        <v>5.4</v>
      </c>
      <c r="C92" s="7" t="s">
        <v>67</v>
      </c>
      <c r="D92" s="10" t="s">
        <v>110</v>
      </c>
      <c r="E92" s="8" t="s">
        <v>219</v>
      </c>
      <c r="F92" s="9" t="s">
        <v>50</v>
      </c>
      <c r="G92" s="9">
        <v>0.61652892561983474</v>
      </c>
      <c r="H92" s="8">
        <v>1</v>
      </c>
      <c r="I92" s="8">
        <v>1</v>
      </c>
      <c r="J92" s="33">
        <f>365/7*2</f>
        <v>104.28571428571429</v>
      </c>
      <c r="K92" s="13">
        <f t="shared" si="2"/>
        <v>5.9119212045737578E-3</v>
      </c>
      <c r="L92" s="10" t="s">
        <v>340</v>
      </c>
      <c r="M92" s="7" t="s">
        <v>220</v>
      </c>
    </row>
    <row r="93" spans="1:13" ht="22.5" x14ac:dyDescent="0.25">
      <c r="A93" s="10" t="s">
        <v>69</v>
      </c>
      <c r="B93" s="6">
        <v>5.4</v>
      </c>
      <c r="C93" s="7" t="s">
        <v>67</v>
      </c>
      <c r="D93" s="10" t="s">
        <v>110</v>
      </c>
      <c r="E93" s="8" t="s">
        <v>119</v>
      </c>
      <c r="F93" s="9" t="s">
        <v>50</v>
      </c>
      <c r="G93" s="9">
        <v>4.110192837465565</v>
      </c>
      <c r="H93" s="8">
        <v>1</v>
      </c>
      <c r="I93" s="32">
        <v>1</v>
      </c>
      <c r="J93" s="12">
        <f>365/7*35</f>
        <v>1825</v>
      </c>
      <c r="K93" s="13">
        <f t="shared" si="2"/>
        <v>2.252160458885241E-3</v>
      </c>
      <c r="L93" s="10" t="s">
        <v>341</v>
      </c>
      <c r="M93" s="7" t="s">
        <v>221</v>
      </c>
    </row>
    <row r="94" spans="1:13" ht="33.75" x14ac:dyDescent="0.25">
      <c r="A94" s="10" t="s">
        <v>69</v>
      </c>
      <c r="B94" s="6">
        <v>5.4</v>
      </c>
      <c r="C94" s="7" t="s">
        <v>67</v>
      </c>
      <c r="D94" s="10" t="s">
        <v>110</v>
      </c>
      <c r="E94" s="8" t="s">
        <v>120</v>
      </c>
      <c r="F94" s="8" t="s">
        <v>50</v>
      </c>
      <c r="G94" s="9">
        <v>5.1377410468319562</v>
      </c>
      <c r="H94" s="8">
        <v>1</v>
      </c>
      <c r="I94" s="32">
        <v>1</v>
      </c>
      <c r="J94" s="33">
        <f>365/7*20</f>
        <v>1042.8571428571429</v>
      </c>
      <c r="K94" s="13">
        <f t="shared" si="2"/>
        <v>4.9266010038114651E-3</v>
      </c>
      <c r="L94" s="10" t="s">
        <v>342</v>
      </c>
      <c r="M94" s="7" t="s">
        <v>222</v>
      </c>
    </row>
    <row r="95" spans="1:13" ht="56.25" x14ac:dyDescent="0.25">
      <c r="A95" s="10" t="s">
        <v>69</v>
      </c>
      <c r="B95" s="6">
        <v>5.4</v>
      </c>
      <c r="C95" s="7" t="s">
        <v>67</v>
      </c>
      <c r="D95" s="10" t="s">
        <v>110</v>
      </c>
      <c r="E95" s="8" t="s">
        <v>223</v>
      </c>
      <c r="F95" s="9"/>
      <c r="G95" s="9">
        <v>15.41322314049587</v>
      </c>
      <c r="H95" s="8">
        <v>1</v>
      </c>
      <c r="I95" s="32">
        <v>1</v>
      </c>
      <c r="J95" s="12">
        <f>365/7</f>
        <v>52.142857142857146</v>
      </c>
      <c r="K95" s="13">
        <f t="shared" si="2"/>
        <v>0.2955960602286879</v>
      </c>
      <c r="L95" s="10" t="s">
        <v>224</v>
      </c>
      <c r="M95" s="52"/>
    </row>
    <row r="96" spans="1:13" ht="33.75" x14ac:dyDescent="0.25">
      <c r="A96" s="50" t="s">
        <v>69</v>
      </c>
      <c r="B96" s="50">
        <v>5.4</v>
      </c>
      <c r="C96" s="7" t="s">
        <v>67</v>
      </c>
      <c r="D96" s="10" t="s">
        <v>110</v>
      </c>
      <c r="E96" s="8" t="s">
        <v>225</v>
      </c>
      <c r="F96" s="9" t="s">
        <v>74</v>
      </c>
      <c r="G96" s="9">
        <v>16.44077134986226</v>
      </c>
      <c r="H96" s="8">
        <v>3</v>
      </c>
      <c r="I96" s="32">
        <v>1</v>
      </c>
      <c r="J96" s="12">
        <f>365/7*35</f>
        <v>1825</v>
      </c>
      <c r="K96" s="13">
        <f t="shared" si="2"/>
        <v>9.0086418355409641E-3</v>
      </c>
      <c r="L96" s="10" t="s">
        <v>343</v>
      </c>
      <c r="M96" s="7" t="s">
        <v>226</v>
      </c>
    </row>
    <row r="97" spans="1:13" ht="22.5" x14ac:dyDescent="0.25">
      <c r="A97" s="10" t="s">
        <v>69</v>
      </c>
      <c r="B97" s="50">
        <v>5.4</v>
      </c>
      <c r="C97" s="7" t="s">
        <v>67</v>
      </c>
      <c r="D97" s="10" t="s">
        <v>110</v>
      </c>
      <c r="E97" s="10" t="s">
        <v>227</v>
      </c>
      <c r="F97" s="9" t="s">
        <v>79</v>
      </c>
      <c r="G97" s="30">
        <v>25</v>
      </c>
      <c r="H97" s="8">
        <v>1</v>
      </c>
      <c r="I97" s="32">
        <v>1</v>
      </c>
      <c r="J97" s="12">
        <f>365/7*25</f>
        <v>1303.5714285714287</v>
      </c>
      <c r="K97" s="13">
        <f t="shared" si="2"/>
        <v>1.9178082191780819E-2</v>
      </c>
      <c r="L97" s="10" t="s">
        <v>1277</v>
      </c>
      <c r="M97" s="7" t="s">
        <v>1278</v>
      </c>
    </row>
    <row r="98" spans="1:13" ht="22.5" x14ac:dyDescent="0.25">
      <c r="A98" s="10" t="s">
        <v>69</v>
      </c>
      <c r="B98" s="50">
        <v>5.4</v>
      </c>
      <c r="C98" s="7" t="s">
        <v>67</v>
      </c>
      <c r="D98" s="10" t="s">
        <v>110</v>
      </c>
      <c r="E98" s="10" t="s">
        <v>227</v>
      </c>
      <c r="F98" s="24" t="s">
        <v>50</v>
      </c>
      <c r="G98" s="9">
        <v>3.0826446280991737</v>
      </c>
      <c r="H98" s="10">
        <v>3</v>
      </c>
      <c r="I98" s="11">
        <v>1</v>
      </c>
      <c r="J98" s="45">
        <f>365/7*5</f>
        <v>260.71428571428572</v>
      </c>
      <c r="K98" s="13">
        <f t="shared" ref="K98:K129" si="3">G98*I98/J98</f>
        <v>1.1823842409147516E-2</v>
      </c>
      <c r="L98" s="10" t="s">
        <v>1276</v>
      </c>
      <c r="M98" s="18" t="s">
        <v>228</v>
      </c>
    </row>
    <row r="99" spans="1:13" ht="22.5" x14ac:dyDescent="0.25">
      <c r="A99" s="10" t="s">
        <v>69</v>
      </c>
      <c r="B99" s="50">
        <v>5.4</v>
      </c>
      <c r="C99" s="7" t="s">
        <v>67</v>
      </c>
      <c r="D99" s="10" t="s">
        <v>110</v>
      </c>
      <c r="E99" s="8" t="s">
        <v>142</v>
      </c>
      <c r="F99" s="9" t="s">
        <v>79</v>
      </c>
      <c r="G99" s="9">
        <v>12.330578512396695</v>
      </c>
      <c r="H99" s="8">
        <v>1</v>
      </c>
      <c r="I99" s="8">
        <v>1</v>
      </c>
      <c r="J99" s="33">
        <f>365/7*5</f>
        <v>260.71428571428572</v>
      </c>
      <c r="K99" s="13">
        <f t="shared" si="3"/>
        <v>4.7295369636590062E-2</v>
      </c>
      <c r="L99" s="8" t="s">
        <v>344</v>
      </c>
      <c r="M99" s="7" t="s">
        <v>229</v>
      </c>
    </row>
    <row r="100" spans="1:13" ht="22.5" x14ac:dyDescent="0.25">
      <c r="A100" s="10" t="s">
        <v>69</v>
      </c>
      <c r="B100" s="28">
        <v>5.4</v>
      </c>
      <c r="C100" s="7" t="s">
        <v>67</v>
      </c>
      <c r="D100" s="10" t="s">
        <v>110</v>
      </c>
      <c r="E100" s="10" t="s">
        <v>82</v>
      </c>
      <c r="F100" s="9" t="s">
        <v>79</v>
      </c>
      <c r="G100" s="30">
        <v>70</v>
      </c>
      <c r="H100" s="8">
        <v>1</v>
      </c>
      <c r="I100" s="32">
        <v>1</v>
      </c>
      <c r="J100" s="12">
        <f>365/7*15</f>
        <v>782.14285714285722</v>
      </c>
      <c r="K100" s="13">
        <f t="shared" si="3"/>
        <v>8.9497716894977153E-2</v>
      </c>
      <c r="L100" s="10" t="s">
        <v>1288</v>
      </c>
      <c r="M100" s="7" t="s">
        <v>1289</v>
      </c>
    </row>
    <row r="101" spans="1:13" ht="22.5" x14ac:dyDescent="0.25">
      <c r="A101" s="50" t="s">
        <v>69</v>
      </c>
      <c r="B101" s="28">
        <v>5.6</v>
      </c>
      <c r="C101" s="7" t="s">
        <v>67</v>
      </c>
      <c r="D101" s="10" t="s">
        <v>123</v>
      </c>
      <c r="E101" s="10" t="s">
        <v>124</v>
      </c>
      <c r="F101" s="8" t="s">
        <v>28</v>
      </c>
      <c r="G101" s="30">
        <v>2.4847517730496458</v>
      </c>
      <c r="H101" s="8">
        <v>30</v>
      </c>
      <c r="I101" s="32">
        <v>1</v>
      </c>
      <c r="J101" s="33">
        <f>60/7</f>
        <v>8.5714285714285712</v>
      </c>
      <c r="K101" s="13">
        <f t="shared" si="3"/>
        <v>0.28988770685579202</v>
      </c>
      <c r="L101" s="10" t="s">
        <v>345</v>
      </c>
      <c r="M101" s="18" t="s">
        <v>230</v>
      </c>
    </row>
    <row r="102" spans="1:13" ht="22.5" x14ac:dyDescent="0.25">
      <c r="A102" s="50" t="s">
        <v>69</v>
      </c>
      <c r="B102" s="50">
        <v>5.4</v>
      </c>
      <c r="C102" s="7" t="s">
        <v>67</v>
      </c>
      <c r="D102" s="10" t="s">
        <v>110</v>
      </c>
      <c r="E102" s="10" t="s">
        <v>126</v>
      </c>
      <c r="F102" s="24" t="s">
        <v>50</v>
      </c>
      <c r="G102" s="9">
        <v>1.7468319559228651</v>
      </c>
      <c r="H102" s="10">
        <v>1</v>
      </c>
      <c r="I102" s="11">
        <v>1</v>
      </c>
      <c r="J102" s="45">
        <f>365/7*2</f>
        <v>104.28571428571429</v>
      </c>
      <c r="K102" s="13">
        <f t="shared" si="3"/>
        <v>1.675044341295898E-2</v>
      </c>
      <c r="L102" s="10" t="s">
        <v>346</v>
      </c>
      <c r="M102" s="7" t="s">
        <v>127</v>
      </c>
    </row>
    <row r="103" spans="1:13" ht="22.5" x14ac:dyDescent="0.25">
      <c r="A103" s="50" t="s">
        <v>69</v>
      </c>
      <c r="B103" s="28">
        <v>5.4</v>
      </c>
      <c r="C103" s="7" t="s">
        <v>67</v>
      </c>
      <c r="D103" s="10" t="s">
        <v>110</v>
      </c>
      <c r="E103" s="10" t="s">
        <v>128</v>
      </c>
      <c r="F103" s="24" t="s">
        <v>50</v>
      </c>
      <c r="G103" s="9">
        <v>1.7468319559228651</v>
      </c>
      <c r="H103" s="10">
        <v>1</v>
      </c>
      <c r="I103" s="11">
        <v>1</v>
      </c>
      <c r="J103" s="45">
        <f>365/7*2</f>
        <v>104.28571428571429</v>
      </c>
      <c r="K103" s="13">
        <f t="shared" si="3"/>
        <v>1.675044341295898E-2</v>
      </c>
      <c r="L103" s="10" t="s">
        <v>347</v>
      </c>
      <c r="M103" s="7" t="s">
        <v>129</v>
      </c>
    </row>
    <row r="104" spans="1:13" ht="45" x14ac:dyDescent="0.25">
      <c r="A104" s="6" t="s">
        <v>69</v>
      </c>
      <c r="B104" s="6">
        <v>5.4</v>
      </c>
      <c r="C104" s="7" t="s">
        <v>67</v>
      </c>
      <c r="D104" s="10" t="s">
        <v>110</v>
      </c>
      <c r="E104" s="10" t="s">
        <v>231</v>
      </c>
      <c r="F104" s="24" t="s">
        <v>53</v>
      </c>
      <c r="G104" s="9">
        <v>8.2101101928374653</v>
      </c>
      <c r="H104" s="10">
        <v>17</v>
      </c>
      <c r="I104" s="11">
        <v>1</v>
      </c>
      <c r="J104" s="45">
        <f>365/7*5</f>
        <v>260.71428571428572</v>
      </c>
      <c r="K104" s="13">
        <f t="shared" si="3"/>
        <v>3.149083361636288E-2</v>
      </c>
      <c r="L104" s="10" t="s">
        <v>348</v>
      </c>
      <c r="M104" s="7" t="s">
        <v>232</v>
      </c>
    </row>
    <row r="105" spans="1:13" ht="45" x14ac:dyDescent="0.25">
      <c r="A105" s="6" t="s">
        <v>69</v>
      </c>
      <c r="B105" s="28">
        <v>5.4</v>
      </c>
      <c r="C105" s="7" t="s">
        <v>67</v>
      </c>
      <c r="D105" s="10" t="s">
        <v>110</v>
      </c>
      <c r="E105" s="10" t="s">
        <v>122</v>
      </c>
      <c r="F105" s="24" t="s">
        <v>76</v>
      </c>
      <c r="G105" s="9">
        <v>10.778980716253445</v>
      </c>
      <c r="H105" s="10">
        <v>3</v>
      </c>
      <c r="I105" s="11">
        <v>1</v>
      </c>
      <c r="J105" s="45">
        <f>365/7*10</f>
        <v>521.42857142857144</v>
      </c>
      <c r="K105" s="13">
        <f t="shared" si="3"/>
        <v>2.0672017811992908E-2</v>
      </c>
      <c r="L105" s="10" t="s">
        <v>349</v>
      </c>
      <c r="M105" s="7" t="s">
        <v>234</v>
      </c>
    </row>
    <row r="106" spans="1:13" ht="45" x14ac:dyDescent="0.25">
      <c r="A106" s="10" t="s">
        <v>69</v>
      </c>
      <c r="B106" s="28">
        <v>5.4</v>
      </c>
      <c r="C106" s="7" t="s">
        <v>67</v>
      </c>
      <c r="D106" s="10" t="s">
        <v>135</v>
      </c>
      <c r="E106" s="10" t="s">
        <v>235</v>
      </c>
      <c r="F106" s="24" t="s">
        <v>76</v>
      </c>
      <c r="G106" s="9">
        <v>5.1274655647382925</v>
      </c>
      <c r="H106" s="10">
        <v>1</v>
      </c>
      <c r="I106" s="11">
        <v>1</v>
      </c>
      <c r="J106" s="45">
        <f>365/7*10</f>
        <v>521.42857142857144</v>
      </c>
      <c r="K106" s="13">
        <f t="shared" si="3"/>
        <v>9.8334956036076841E-3</v>
      </c>
      <c r="L106" s="8" t="s">
        <v>350</v>
      </c>
      <c r="M106" s="7" t="s">
        <v>236</v>
      </c>
    </row>
    <row r="107" spans="1:13" ht="22.5" x14ac:dyDescent="0.25">
      <c r="A107" s="50" t="s">
        <v>69</v>
      </c>
      <c r="B107" s="50">
        <v>5.6</v>
      </c>
      <c r="C107" s="7" t="s">
        <v>67</v>
      </c>
      <c r="D107" s="10" t="s">
        <v>130</v>
      </c>
      <c r="E107" s="10" t="s">
        <v>177</v>
      </c>
      <c r="F107" s="24" t="s">
        <v>28</v>
      </c>
      <c r="G107" s="30">
        <v>1.920035460992908</v>
      </c>
      <c r="H107" s="10">
        <v>1</v>
      </c>
      <c r="I107" s="10">
        <v>1</v>
      </c>
      <c r="J107" s="45">
        <f>40/5*2</f>
        <v>16</v>
      </c>
      <c r="K107" s="13">
        <f t="shared" si="3"/>
        <v>0.12000221631205675</v>
      </c>
      <c r="L107" s="10" t="s">
        <v>351</v>
      </c>
      <c r="M107" s="7" t="s">
        <v>237</v>
      </c>
    </row>
    <row r="108" spans="1:13" ht="22.5" x14ac:dyDescent="0.25">
      <c r="A108" s="50" t="s">
        <v>69</v>
      </c>
      <c r="B108" s="50">
        <v>5.6</v>
      </c>
      <c r="C108" s="7" t="s">
        <v>67</v>
      </c>
      <c r="D108" s="8" t="s">
        <v>130</v>
      </c>
      <c r="E108" s="10" t="s">
        <v>131</v>
      </c>
      <c r="F108" s="24" t="s">
        <v>28</v>
      </c>
      <c r="G108" s="30">
        <v>1.6941489361702131</v>
      </c>
      <c r="H108" s="10">
        <v>1</v>
      </c>
      <c r="I108" s="10">
        <v>1</v>
      </c>
      <c r="J108" s="45">
        <f>74/5*2</f>
        <v>29.6</v>
      </c>
      <c r="K108" s="13">
        <f t="shared" si="3"/>
        <v>5.7234761357101795E-2</v>
      </c>
      <c r="L108" s="10" t="s">
        <v>351</v>
      </c>
      <c r="M108" s="7" t="s">
        <v>238</v>
      </c>
    </row>
    <row r="109" spans="1:13" ht="45" x14ac:dyDescent="0.25">
      <c r="A109" s="6" t="s">
        <v>69</v>
      </c>
      <c r="B109" s="6">
        <v>5.6</v>
      </c>
      <c r="C109" s="7" t="s">
        <v>67</v>
      </c>
      <c r="D109" s="8" t="s">
        <v>130</v>
      </c>
      <c r="E109" s="10" t="s">
        <v>239</v>
      </c>
      <c r="F109" s="24" t="s">
        <v>50</v>
      </c>
      <c r="G109" s="30">
        <v>1.1294326241134753</v>
      </c>
      <c r="H109" s="10">
        <v>1</v>
      </c>
      <c r="I109" s="11">
        <v>1</v>
      </c>
      <c r="J109" s="45">
        <v>50</v>
      </c>
      <c r="K109" s="13">
        <f t="shared" si="3"/>
        <v>2.2588652482269506E-2</v>
      </c>
      <c r="L109" s="8" t="s">
        <v>352</v>
      </c>
      <c r="M109" s="7" t="s">
        <v>240</v>
      </c>
    </row>
    <row r="110" spans="1:13" ht="33.75" x14ac:dyDescent="0.25">
      <c r="A110" s="10" t="s">
        <v>69</v>
      </c>
      <c r="B110" s="50">
        <v>5.4</v>
      </c>
      <c r="C110" s="7" t="s">
        <v>67</v>
      </c>
      <c r="D110" s="10" t="s">
        <v>130</v>
      </c>
      <c r="E110" s="10" t="s">
        <v>241</v>
      </c>
      <c r="F110" s="24" t="s">
        <v>27</v>
      </c>
      <c r="G110" s="9">
        <v>21.578512396694215</v>
      </c>
      <c r="H110" s="10">
        <v>1</v>
      </c>
      <c r="I110" s="10">
        <v>1</v>
      </c>
      <c r="J110" s="45">
        <f>365/7*15</f>
        <v>782.14285714285722</v>
      </c>
      <c r="K110" s="13">
        <f t="shared" si="3"/>
        <v>2.7588965621344198E-2</v>
      </c>
      <c r="L110" s="10" t="s">
        <v>353</v>
      </c>
      <c r="M110" s="6" t="s">
        <v>242</v>
      </c>
    </row>
    <row r="111" spans="1:13" ht="45" x14ac:dyDescent="0.25">
      <c r="A111" s="8" t="s">
        <v>69</v>
      </c>
      <c r="B111" s="50">
        <v>5.4</v>
      </c>
      <c r="C111" s="7" t="s">
        <v>67</v>
      </c>
      <c r="D111" s="8" t="s">
        <v>130</v>
      </c>
      <c r="E111" s="10" t="s">
        <v>243</v>
      </c>
      <c r="F111" s="24" t="s">
        <v>76</v>
      </c>
      <c r="G111" s="9">
        <v>7.182561983471075</v>
      </c>
      <c r="H111" s="10">
        <v>2</v>
      </c>
      <c r="I111" s="11">
        <v>2</v>
      </c>
      <c r="J111" s="45">
        <f>365/7*30</f>
        <v>1564.2857142857144</v>
      </c>
      <c r="K111" s="13">
        <f t="shared" si="3"/>
        <v>9.1831842711045698E-3</v>
      </c>
      <c r="L111" s="8" t="s">
        <v>354</v>
      </c>
      <c r="M111" s="7" t="s">
        <v>244</v>
      </c>
    </row>
    <row r="112" spans="1:13" ht="22.5" x14ac:dyDescent="0.25">
      <c r="A112" s="10" t="s">
        <v>69</v>
      </c>
      <c r="B112" s="50">
        <v>5.3</v>
      </c>
      <c r="C112" s="7" t="s">
        <v>67</v>
      </c>
      <c r="D112" s="10" t="s">
        <v>130</v>
      </c>
      <c r="E112" s="10" t="s">
        <v>132</v>
      </c>
      <c r="F112" s="24" t="s">
        <v>74</v>
      </c>
      <c r="G112" s="24">
        <v>29.487136929460583</v>
      </c>
      <c r="H112" s="10">
        <v>1</v>
      </c>
      <c r="I112" s="11">
        <v>1</v>
      </c>
      <c r="J112" s="45">
        <f>365/7*5</f>
        <v>260.71428571428572</v>
      </c>
      <c r="K112" s="13">
        <f t="shared" si="3"/>
        <v>0.11310134712669812</v>
      </c>
      <c r="L112" s="10" t="s">
        <v>355</v>
      </c>
      <c r="M112" s="7" t="s">
        <v>245</v>
      </c>
    </row>
    <row r="113" spans="1:13" ht="45" x14ac:dyDescent="0.25">
      <c r="A113" s="50" t="s">
        <v>69</v>
      </c>
      <c r="B113" s="50">
        <v>5.4</v>
      </c>
      <c r="C113" s="7" t="s">
        <v>67</v>
      </c>
      <c r="D113" s="10" t="s">
        <v>130</v>
      </c>
      <c r="E113" s="10" t="s">
        <v>133</v>
      </c>
      <c r="F113" s="24" t="s">
        <v>74</v>
      </c>
      <c r="G113" s="9">
        <v>20.550964187327825</v>
      </c>
      <c r="H113" s="10">
        <v>1</v>
      </c>
      <c r="I113" s="11">
        <v>1</v>
      </c>
      <c r="J113" s="45">
        <f>365/7*15</f>
        <v>782.14285714285722</v>
      </c>
      <c r="K113" s="13">
        <f t="shared" si="3"/>
        <v>2.6275205353661141E-2</v>
      </c>
      <c r="L113" s="10" t="s">
        <v>356</v>
      </c>
      <c r="M113" s="7" t="s">
        <v>246</v>
      </c>
    </row>
    <row r="114" spans="1:13" ht="22.5" x14ac:dyDescent="0.25">
      <c r="A114" s="50" t="s">
        <v>69</v>
      </c>
      <c r="B114" s="50">
        <v>5.4</v>
      </c>
      <c r="C114" s="7" t="s">
        <v>67</v>
      </c>
      <c r="D114" s="8" t="s">
        <v>130</v>
      </c>
      <c r="E114" s="29" t="s">
        <v>134</v>
      </c>
      <c r="F114" s="31" t="s">
        <v>74</v>
      </c>
      <c r="G114" s="9">
        <v>6.1652892561983474</v>
      </c>
      <c r="H114" s="32">
        <v>1</v>
      </c>
      <c r="I114" s="32">
        <v>1</v>
      </c>
      <c r="J114" s="33">
        <f>365/7*2</f>
        <v>104.28571428571429</v>
      </c>
      <c r="K114" s="13">
        <f t="shared" si="3"/>
        <v>5.9119212045737578E-2</v>
      </c>
      <c r="L114" s="8" t="s">
        <v>357</v>
      </c>
      <c r="M114" s="1" t="s">
        <v>247</v>
      </c>
    </row>
    <row r="115" spans="1:13" ht="22.5" x14ac:dyDescent="0.25">
      <c r="A115" s="10" t="s">
        <v>69</v>
      </c>
      <c r="B115" s="6">
        <v>5.6</v>
      </c>
      <c r="C115" s="7" t="s">
        <v>67</v>
      </c>
      <c r="D115" s="10" t="s">
        <v>130</v>
      </c>
      <c r="E115" s="7" t="s">
        <v>248</v>
      </c>
      <c r="F115" s="10" t="s">
        <v>74</v>
      </c>
      <c r="G115" s="30">
        <v>9.0354609929078027</v>
      </c>
      <c r="H115" s="10"/>
      <c r="I115" s="10">
        <v>1</v>
      </c>
      <c r="J115" s="45">
        <f>365/7*10</f>
        <v>521.42857142857144</v>
      </c>
      <c r="K115" s="13">
        <f t="shared" si="3"/>
        <v>1.7328281356261539E-2</v>
      </c>
      <c r="L115" s="8" t="s">
        <v>249</v>
      </c>
      <c r="M115" s="18" t="s">
        <v>250</v>
      </c>
    </row>
    <row r="116" spans="1:13" ht="33.75" x14ac:dyDescent="0.25">
      <c r="A116" s="10" t="s">
        <v>69</v>
      </c>
      <c r="B116" s="6">
        <v>5.6</v>
      </c>
      <c r="C116" s="7" t="s">
        <v>67</v>
      </c>
      <c r="D116" s="10" t="s">
        <v>130</v>
      </c>
      <c r="E116" s="8" t="s">
        <v>251</v>
      </c>
      <c r="F116" s="9" t="s">
        <v>27</v>
      </c>
      <c r="G116" s="30">
        <v>1.8070921985815607</v>
      </c>
      <c r="H116" s="8">
        <v>36</v>
      </c>
      <c r="I116" s="32">
        <v>1</v>
      </c>
      <c r="J116" s="33">
        <f>365/7*3</f>
        <v>156.42857142857144</v>
      </c>
      <c r="K116" s="13">
        <f t="shared" si="3"/>
        <v>1.1552187570841026E-2</v>
      </c>
      <c r="L116" s="8" t="s">
        <v>358</v>
      </c>
      <c r="M116" s="53" t="s">
        <v>252</v>
      </c>
    </row>
    <row r="117" spans="1:13" ht="56.25" x14ac:dyDescent="0.25">
      <c r="A117" s="50" t="s">
        <v>69</v>
      </c>
      <c r="B117" s="50">
        <v>5.6</v>
      </c>
      <c r="C117" s="7" t="s">
        <v>67</v>
      </c>
      <c r="D117" s="10" t="s">
        <v>135</v>
      </c>
      <c r="E117" s="10" t="s">
        <v>253</v>
      </c>
      <c r="F117" s="9" t="s">
        <v>79</v>
      </c>
      <c r="G117" s="30">
        <v>16.941489361702128</v>
      </c>
      <c r="H117" s="8">
        <v>1</v>
      </c>
      <c r="I117" s="32">
        <v>1</v>
      </c>
      <c r="J117" s="33">
        <f>365/7*5</f>
        <v>260.71428571428572</v>
      </c>
      <c r="K117" s="13">
        <f t="shared" si="3"/>
        <v>6.498105508598076E-2</v>
      </c>
      <c r="L117" s="10" t="s">
        <v>359</v>
      </c>
      <c r="M117" s="7" t="s">
        <v>254</v>
      </c>
    </row>
    <row r="118" spans="1:13" ht="22.5" x14ac:dyDescent="0.25">
      <c r="A118" s="50" t="s">
        <v>69</v>
      </c>
      <c r="B118" s="50">
        <v>5.6</v>
      </c>
      <c r="C118" s="7" t="s">
        <v>67</v>
      </c>
      <c r="D118" s="10" t="s">
        <v>135</v>
      </c>
      <c r="E118" s="8" t="s">
        <v>255</v>
      </c>
      <c r="F118" s="9" t="s">
        <v>79</v>
      </c>
      <c r="G118" s="30">
        <v>2.2588652482269507</v>
      </c>
      <c r="H118" s="8">
        <v>1</v>
      </c>
      <c r="I118" s="8">
        <v>1</v>
      </c>
      <c r="J118" s="33">
        <f>365/7*2</f>
        <v>104.28571428571429</v>
      </c>
      <c r="K118" s="13">
        <f t="shared" si="3"/>
        <v>2.1660351695326922E-2</v>
      </c>
      <c r="L118" s="8" t="s">
        <v>319</v>
      </c>
      <c r="M118" s="18" t="s">
        <v>256</v>
      </c>
    </row>
    <row r="119" spans="1:13" ht="22.5" x14ac:dyDescent="0.25">
      <c r="A119" s="10" t="s">
        <v>69</v>
      </c>
      <c r="B119" s="28">
        <v>5.3</v>
      </c>
      <c r="C119" s="7" t="s">
        <v>67</v>
      </c>
      <c r="D119" s="10" t="s">
        <v>135</v>
      </c>
      <c r="E119" s="10" t="s">
        <v>136</v>
      </c>
      <c r="F119" s="24" t="s">
        <v>74</v>
      </c>
      <c r="G119" s="24">
        <v>230</v>
      </c>
      <c r="H119" s="10">
        <v>1</v>
      </c>
      <c r="I119" s="46">
        <v>1</v>
      </c>
      <c r="J119" s="45">
        <f>365/7*18</f>
        <v>938.57142857142867</v>
      </c>
      <c r="K119" s="13">
        <f t="shared" si="3"/>
        <v>0.24505327245053271</v>
      </c>
      <c r="M119" s="10" t="s">
        <v>1290</v>
      </c>
    </row>
    <row r="120" spans="1:13" ht="33.75" x14ac:dyDescent="0.25">
      <c r="A120" s="10" t="s">
        <v>69</v>
      </c>
      <c r="B120" s="28">
        <v>5.6</v>
      </c>
      <c r="C120" s="7" t="s">
        <v>67</v>
      </c>
      <c r="D120" s="10" t="s">
        <v>135</v>
      </c>
      <c r="E120" s="8" t="s">
        <v>137</v>
      </c>
      <c r="F120" s="9" t="s">
        <v>27</v>
      </c>
      <c r="G120" s="30">
        <v>9.0354609929078027</v>
      </c>
      <c r="H120" s="8">
        <v>1</v>
      </c>
      <c r="I120" s="32">
        <v>1</v>
      </c>
      <c r="J120" s="33">
        <f>365/7*5</f>
        <v>260.71428571428572</v>
      </c>
      <c r="K120" s="13">
        <f t="shared" si="3"/>
        <v>3.4656562712523077E-2</v>
      </c>
      <c r="L120" s="10" t="s">
        <v>360</v>
      </c>
      <c r="M120" s="7" t="s">
        <v>257</v>
      </c>
    </row>
    <row r="121" spans="1:13" x14ac:dyDescent="0.25">
      <c r="A121" s="10" t="s">
        <v>69</v>
      </c>
      <c r="B121" s="28">
        <v>5.6</v>
      </c>
      <c r="C121" s="7" t="s">
        <v>67</v>
      </c>
      <c r="D121" s="10" t="s">
        <v>135</v>
      </c>
      <c r="E121" s="8" t="s">
        <v>140</v>
      </c>
      <c r="F121" s="24" t="s">
        <v>28</v>
      </c>
      <c r="G121" s="30">
        <v>3.9530141843971638</v>
      </c>
      <c r="H121" s="10">
        <v>4</v>
      </c>
      <c r="I121" s="10">
        <v>1</v>
      </c>
      <c r="J121" s="33">
        <v>6</v>
      </c>
      <c r="K121" s="13">
        <f t="shared" si="3"/>
        <v>0.6588356973995273</v>
      </c>
      <c r="L121" s="10" t="s">
        <v>361</v>
      </c>
      <c r="M121" s="54" t="s">
        <v>141</v>
      </c>
    </row>
    <row r="122" spans="1:13" ht="45" x14ac:dyDescent="0.25">
      <c r="A122" s="6" t="s">
        <v>69</v>
      </c>
      <c r="B122" s="6">
        <v>5.6</v>
      </c>
      <c r="C122" s="7" t="s">
        <v>67</v>
      </c>
      <c r="D122" s="10" t="s">
        <v>135</v>
      </c>
      <c r="E122" s="29" t="s">
        <v>258</v>
      </c>
      <c r="F122" s="31" t="s">
        <v>259</v>
      </c>
      <c r="G122" s="30">
        <v>1.1294326241134753</v>
      </c>
      <c r="H122" s="32">
        <v>7</v>
      </c>
      <c r="I122" s="32">
        <v>1</v>
      </c>
      <c r="J122" s="33">
        <f>365/7</f>
        <v>52.142857142857146</v>
      </c>
      <c r="K122" s="13">
        <f t="shared" si="3"/>
        <v>2.1660351695326922E-2</v>
      </c>
      <c r="L122" s="10" t="s">
        <v>362</v>
      </c>
      <c r="M122" s="7" t="s">
        <v>260</v>
      </c>
    </row>
    <row r="123" spans="1:13" ht="22.5" x14ac:dyDescent="0.25">
      <c r="A123" s="10" t="s">
        <v>69</v>
      </c>
      <c r="B123" s="28">
        <v>5.6</v>
      </c>
      <c r="C123" s="7" t="s">
        <v>67</v>
      </c>
      <c r="D123" s="10" t="s">
        <v>135</v>
      </c>
      <c r="E123" s="10" t="s">
        <v>143</v>
      </c>
      <c r="F123" s="24" t="s">
        <v>50</v>
      </c>
      <c r="G123" s="30">
        <v>4.5177304964539013</v>
      </c>
      <c r="H123" s="10">
        <v>5</v>
      </c>
      <c r="I123" s="11">
        <v>1</v>
      </c>
      <c r="J123" s="45">
        <f>365/7</f>
        <v>52.142857142857146</v>
      </c>
      <c r="K123" s="13">
        <f t="shared" si="3"/>
        <v>8.6641406781307689E-2</v>
      </c>
      <c r="L123" s="8" t="s">
        <v>363</v>
      </c>
      <c r="M123" s="10" t="s">
        <v>261</v>
      </c>
    </row>
    <row r="124" spans="1:13" ht="22.5" x14ac:dyDescent="0.25">
      <c r="A124" s="50" t="s">
        <v>69</v>
      </c>
      <c r="B124" s="50">
        <v>5.6</v>
      </c>
      <c r="C124" s="7" t="s">
        <v>67</v>
      </c>
      <c r="D124" s="10" t="s">
        <v>123</v>
      </c>
      <c r="E124" s="10" t="s">
        <v>145</v>
      </c>
      <c r="F124" s="24" t="s">
        <v>28</v>
      </c>
      <c r="G124" s="30">
        <v>2.2588652482269507</v>
      </c>
      <c r="H124" s="10">
        <v>1</v>
      </c>
      <c r="I124" s="10">
        <v>1</v>
      </c>
      <c r="J124" s="12">
        <v>6</v>
      </c>
      <c r="K124" s="13">
        <f t="shared" si="3"/>
        <v>0.37647754137115846</v>
      </c>
      <c r="L124" s="10" t="s">
        <v>364</v>
      </c>
      <c r="M124" s="18" t="s">
        <v>262</v>
      </c>
    </row>
    <row r="125" spans="1:13" ht="33.75" x14ac:dyDescent="0.25">
      <c r="A125" s="50" t="s">
        <v>69</v>
      </c>
      <c r="B125" s="50">
        <v>5.6</v>
      </c>
      <c r="C125" s="7" t="s">
        <v>67</v>
      </c>
      <c r="D125" s="10" t="s">
        <v>123</v>
      </c>
      <c r="E125" s="8" t="s">
        <v>263</v>
      </c>
      <c r="F125" s="9" t="s">
        <v>28</v>
      </c>
      <c r="G125" s="30">
        <v>1.0164893617021278</v>
      </c>
      <c r="H125" s="8">
        <v>1</v>
      </c>
      <c r="I125" s="8">
        <v>1</v>
      </c>
      <c r="J125" s="33">
        <v>4.3452380952380949</v>
      </c>
      <c r="K125" s="13">
        <f t="shared" si="3"/>
        <v>0.23393179830953079</v>
      </c>
      <c r="L125" s="10" t="s">
        <v>841</v>
      </c>
      <c r="M125" s="54" t="s">
        <v>149</v>
      </c>
    </row>
    <row r="126" spans="1:13" ht="33.75" x14ac:dyDescent="0.25">
      <c r="A126" s="6" t="s">
        <v>69</v>
      </c>
      <c r="B126" s="6">
        <v>5.6</v>
      </c>
      <c r="C126" s="7" t="s">
        <v>67</v>
      </c>
      <c r="D126" s="8" t="s">
        <v>123</v>
      </c>
      <c r="E126" s="8" t="s">
        <v>264</v>
      </c>
      <c r="F126" s="9" t="s">
        <v>28</v>
      </c>
      <c r="G126" s="30">
        <v>4.5177304964539013</v>
      </c>
      <c r="H126" s="8">
        <v>1</v>
      </c>
      <c r="I126" s="32">
        <v>1</v>
      </c>
      <c r="J126" s="12">
        <f>365/84*6</f>
        <v>26.071428571428569</v>
      </c>
      <c r="K126" s="13">
        <f t="shared" si="3"/>
        <v>0.17328281356261541</v>
      </c>
      <c r="L126" s="8" t="s">
        <v>365</v>
      </c>
      <c r="M126" s="54" t="s">
        <v>265</v>
      </c>
    </row>
    <row r="127" spans="1:13" ht="33.75" x14ac:dyDescent="0.25">
      <c r="A127" s="50" t="s">
        <v>69</v>
      </c>
      <c r="B127" s="50">
        <v>5.6</v>
      </c>
      <c r="C127" s="7" t="s">
        <v>67</v>
      </c>
      <c r="D127" s="10" t="s">
        <v>123</v>
      </c>
      <c r="E127" s="8" t="s">
        <v>152</v>
      </c>
      <c r="F127" s="9" t="s">
        <v>28</v>
      </c>
      <c r="G127" s="30">
        <v>1.0729609929078014</v>
      </c>
      <c r="H127" s="8">
        <v>1</v>
      </c>
      <c r="I127" s="8">
        <v>1</v>
      </c>
      <c r="J127" s="33">
        <v>4.3499999999999996</v>
      </c>
      <c r="K127" s="13">
        <f t="shared" si="3"/>
        <v>0.24665769951903482</v>
      </c>
      <c r="L127" s="10" t="s">
        <v>366</v>
      </c>
      <c r="M127" s="54" t="s">
        <v>266</v>
      </c>
    </row>
    <row r="128" spans="1:13" ht="33.75" x14ac:dyDescent="0.25">
      <c r="A128" s="50" t="s">
        <v>69</v>
      </c>
      <c r="B128" s="50">
        <v>5.6</v>
      </c>
      <c r="C128" s="7" t="s">
        <v>67</v>
      </c>
      <c r="D128" s="10" t="s">
        <v>123</v>
      </c>
      <c r="E128" s="8" t="s">
        <v>267</v>
      </c>
      <c r="F128" s="9" t="s">
        <v>28</v>
      </c>
      <c r="G128" s="30">
        <v>1.8635638297872341</v>
      </c>
      <c r="H128" s="8">
        <v>1</v>
      </c>
      <c r="I128" s="32">
        <v>1</v>
      </c>
      <c r="J128" s="12">
        <f>365/84*18</f>
        <v>78.214285714285708</v>
      </c>
      <c r="K128" s="13">
        <f t="shared" si="3"/>
        <v>2.3826386864859616E-2</v>
      </c>
      <c r="L128" s="8" t="s">
        <v>839</v>
      </c>
      <c r="M128" s="7" t="s">
        <v>268</v>
      </c>
    </row>
    <row r="129" spans="1:14" ht="22.5" x14ac:dyDescent="0.25">
      <c r="A129" s="50" t="s">
        <v>69</v>
      </c>
      <c r="B129" s="28">
        <v>5.6</v>
      </c>
      <c r="C129" s="7" t="s">
        <v>67</v>
      </c>
      <c r="D129" s="10" t="s">
        <v>123</v>
      </c>
      <c r="E129" s="10" t="s">
        <v>138</v>
      </c>
      <c r="F129" s="24" t="s">
        <v>28</v>
      </c>
      <c r="G129" s="30">
        <v>0.45177304964539017</v>
      </c>
      <c r="H129" s="10">
        <v>8</v>
      </c>
      <c r="I129" s="10">
        <v>1</v>
      </c>
      <c r="J129" s="45">
        <v>8</v>
      </c>
      <c r="K129" s="13">
        <f t="shared" si="3"/>
        <v>5.6471631205673771E-2</v>
      </c>
      <c r="L129" s="10" t="s">
        <v>367</v>
      </c>
      <c r="M129" s="55" t="s">
        <v>139</v>
      </c>
    </row>
    <row r="130" spans="1:14" ht="22.5" x14ac:dyDescent="0.25">
      <c r="A130" s="6" t="s">
        <v>69</v>
      </c>
      <c r="B130" s="28">
        <v>5.6</v>
      </c>
      <c r="C130" s="7" t="s">
        <v>67</v>
      </c>
      <c r="D130" s="10" t="s">
        <v>123</v>
      </c>
      <c r="E130" s="8" t="s">
        <v>269</v>
      </c>
      <c r="F130" s="9" t="s">
        <v>28</v>
      </c>
      <c r="G130" s="30">
        <v>1.1294326241134753</v>
      </c>
      <c r="H130" s="8">
        <v>5</v>
      </c>
      <c r="I130" s="32">
        <v>1</v>
      </c>
      <c r="J130" s="12">
        <v>5</v>
      </c>
      <c r="K130" s="13">
        <f t="shared" ref="K130:K161" si="4">G130*I130/J130</f>
        <v>0.22588652482269506</v>
      </c>
      <c r="L130" s="10" t="s">
        <v>368</v>
      </c>
      <c r="M130" s="7" t="s">
        <v>270</v>
      </c>
    </row>
    <row r="131" spans="1:14" ht="22.5" x14ac:dyDescent="0.25">
      <c r="A131" s="6" t="s">
        <v>69</v>
      </c>
      <c r="B131" s="6">
        <v>5.6</v>
      </c>
      <c r="C131" s="7" t="s">
        <v>67</v>
      </c>
      <c r="D131" s="8" t="s">
        <v>123</v>
      </c>
      <c r="E131" s="8" t="s">
        <v>148</v>
      </c>
      <c r="F131" s="24" t="s">
        <v>28</v>
      </c>
      <c r="G131" s="30">
        <v>1.468262411347518</v>
      </c>
      <c r="H131" s="10">
        <v>1</v>
      </c>
      <c r="I131" s="46">
        <v>1</v>
      </c>
      <c r="J131" s="33">
        <f>365/84*8</f>
        <v>34.761904761904759</v>
      </c>
      <c r="K131" s="13">
        <f t="shared" si="4"/>
        <v>4.2237685805887507E-2</v>
      </c>
      <c r="L131" s="8" t="s">
        <v>840</v>
      </c>
      <c r="M131" s="6" t="s">
        <v>271</v>
      </c>
    </row>
    <row r="132" spans="1:14" ht="22.5" x14ac:dyDescent="0.25">
      <c r="A132" s="6" t="s">
        <v>69</v>
      </c>
      <c r="B132" s="6">
        <v>5.6</v>
      </c>
      <c r="C132" s="7" t="s">
        <v>67</v>
      </c>
      <c r="D132" s="8" t="s">
        <v>123</v>
      </c>
      <c r="E132" s="8" t="s">
        <v>146</v>
      </c>
      <c r="F132" s="24" t="s">
        <v>28</v>
      </c>
      <c r="G132" s="30">
        <v>1.5247340425531919</v>
      </c>
      <c r="H132" s="10">
        <v>1</v>
      </c>
      <c r="I132" s="46">
        <v>1</v>
      </c>
      <c r="J132" s="12">
        <f>365/84*3</f>
        <v>13.035714285714285</v>
      </c>
      <c r="K132" s="13">
        <f t="shared" si="4"/>
        <v>0.11696589915476542</v>
      </c>
      <c r="L132" s="8" t="s">
        <v>369</v>
      </c>
      <c r="M132" s="54" t="s">
        <v>147</v>
      </c>
    </row>
    <row r="133" spans="1:14" ht="22.5" x14ac:dyDescent="0.25">
      <c r="A133" s="6" t="s">
        <v>69</v>
      </c>
      <c r="B133" s="6">
        <v>5.6</v>
      </c>
      <c r="C133" s="7" t="s">
        <v>67</v>
      </c>
      <c r="D133" s="8" t="s">
        <v>123</v>
      </c>
      <c r="E133" s="8" t="s">
        <v>150</v>
      </c>
      <c r="F133" s="9" t="s">
        <v>28</v>
      </c>
      <c r="G133" s="30">
        <v>1.1294326241134753</v>
      </c>
      <c r="H133" s="8">
        <v>1</v>
      </c>
      <c r="I133" s="8">
        <v>1</v>
      </c>
      <c r="J133" s="12">
        <f>365/84*3</f>
        <v>13.035714285714285</v>
      </c>
      <c r="K133" s="13">
        <f t="shared" si="4"/>
        <v>8.6641406781307703E-2</v>
      </c>
      <c r="L133" s="8" t="s">
        <v>370</v>
      </c>
      <c r="M133" s="54" t="s">
        <v>151</v>
      </c>
    </row>
    <row r="134" spans="1:14" ht="22.5" x14ac:dyDescent="0.25">
      <c r="A134" s="6" t="s">
        <v>69</v>
      </c>
      <c r="B134" s="6">
        <v>5.5</v>
      </c>
      <c r="C134" s="7" t="s">
        <v>67</v>
      </c>
      <c r="D134" s="8" t="s">
        <v>272</v>
      </c>
      <c r="E134" s="8" t="s">
        <v>273</v>
      </c>
      <c r="F134" s="9" t="s">
        <v>74</v>
      </c>
      <c r="G134" s="13">
        <v>17.864668483197097</v>
      </c>
      <c r="H134" s="8">
        <v>40</v>
      </c>
      <c r="I134" s="8">
        <v>1</v>
      </c>
      <c r="J134" s="33">
        <f>365/7*20</f>
        <v>1042.8571428571429</v>
      </c>
      <c r="K134" s="13">
        <f t="shared" si="4"/>
        <v>1.7130504024983517E-2</v>
      </c>
      <c r="L134" s="8" t="s">
        <v>274</v>
      </c>
      <c r="M134" s="52" t="s">
        <v>275</v>
      </c>
    </row>
    <row r="135" spans="1:14" ht="67.5" x14ac:dyDescent="0.25">
      <c r="A135" s="6" t="s">
        <v>69</v>
      </c>
      <c r="B135" s="6">
        <v>5.6</v>
      </c>
      <c r="C135" s="7" t="s">
        <v>67</v>
      </c>
      <c r="D135" s="8" t="s">
        <v>272</v>
      </c>
      <c r="E135" s="8" t="s">
        <v>153</v>
      </c>
      <c r="F135" s="9" t="s">
        <v>27</v>
      </c>
      <c r="G135" s="30">
        <v>4.0659574468085111</v>
      </c>
      <c r="H135" s="8">
        <v>1</v>
      </c>
      <c r="I135" s="8">
        <v>1</v>
      </c>
      <c r="J135" s="33">
        <f>365/7*5</f>
        <v>260.71428571428572</v>
      </c>
      <c r="K135" s="13">
        <f t="shared" si="4"/>
        <v>1.5595453220635385E-2</v>
      </c>
      <c r="L135" s="56" t="s">
        <v>276</v>
      </c>
      <c r="M135" s="18" t="s">
        <v>277</v>
      </c>
    </row>
    <row r="136" spans="1:14" ht="22.5" x14ac:dyDescent="0.25">
      <c r="A136" s="6" t="s">
        <v>69</v>
      </c>
      <c r="B136" s="6">
        <v>5.6</v>
      </c>
      <c r="C136" s="7" t="s">
        <v>67</v>
      </c>
      <c r="D136" s="8" t="s">
        <v>272</v>
      </c>
      <c r="E136" s="8" t="s">
        <v>278</v>
      </c>
      <c r="F136" s="9" t="s">
        <v>27</v>
      </c>
      <c r="G136" s="30">
        <v>2.5412234042553195</v>
      </c>
      <c r="H136" s="8">
        <v>1</v>
      </c>
      <c r="I136" s="8">
        <v>1</v>
      </c>
      <c r="J136" s="33">
        <f>365/7*5</f>
        <v>260.71428571428572</v>
      </c>
      <c r="K136" s="13">
        <f t="shared" si="4"/>
        <v>9.7471582628971161E-3</v>
      </c>
      <c r="L136" s="8" t="s">
        <v>279</v>
      </c>
      <c r="M136" s="57" t="s">
        <v>280</v>
      </c>
    </row>
    <row r="137" spans="1:14" s="59" customFormat="1" ht="22.5" x14ac:dyDescent="0.2">
      <c r="A137" s="50" t="s">
        <v>69</v>
      </c>
      <c r="B137" s="50">
        <v>4.3</v>
      </c>
      <c r="C137" s="6" t="s">
        <v>67</v>
      </c>
      <c r="D137" s="58" t="s">
        <v>154</v>
      </c>
      <c r="E137" s="8" t="s">
        <v>1151</v>
      </c>
      <c r="F137" s="9"/>
      <c r="G137" s="30">
        <v>4000</v>
      </c>
      <c r="H137" s="8"/>
      <c r="I137" s="32">
        <v>1</v>
      </c>
      <c r="J137" s="9">
        <f>365/7*30</f>
        <v>1564.2857142857144</v>
      </c>
      <c r="K137" s="13">
        <f t="shared" si="4"/>
        <v>2.5570776255707761</v>
      </c>
      <c r="L137" s="17" t="s">
        <v>1291</v>
      </c>
      <c r="M137" s="8" t="s">
        <v>1292</v>
      </c>
      <c r="N137" s="28"/>
    </row>
    <row r="138" spans="1:14" ht="22.5" x14ac:dyDescent="0.25">
      <c r="A138" s="6" t="s">
        <v>69</v>
      </c>
      <c r="B138" s="6">
        <v>5.5</v>
      </c>
      <c r="C138" s="7" t="s">
        <v>67</v>
      </c>
      <c r="D138" s="7" t="s">
        <v>154</v>
      </c>
      <c r="E138" s="7" t="s">
        <v>72</v>
      </c>
      <c r="F138" s="7" t="s">
        <v>50</v>
      </c>
      <c r="G138" s="13">
        <v>5</v>
      </c>
      <c r="H138" s="35">
        <v>1</v>
      </c>
      <c r="I138" s="36">
        <v>1</v>
      </c>
      <c r="J138" s="34">
        <f>365/7*5</f>
        <v>260.71428571428572</v>
      </c>
      <c r="K138" s="13">
        <f t="shared" si="4"/>
        <v>1.9178082191780823E-2</v>
      </c>
      <c r="L138" s="7" t="s">
        <v>1136</v>
      </c>
      <c r="M138" s="38" t="s">
        <v>1126</v>
      </c>
    </row>
    <row r="139" spans="1:14" ht="22.5" x14ac:dyDescent="0.25">
      <c r="A139" s="10" t="s">
        <v>69</v>
      </c>
      <c r="B139" s="28">
        <v>5.2</v>
      </c>
      <c r="C139" s="7" t="s">
        <v>67</v>
      </c>
      <c r="D139" s="47" t="s">
        <v>154</v>
      </c>
      <c r="E139" s="7" t="s">
        <v>89</v>
      </c>
      <c r="F139" s="7" t="s">
        <v>79</v>
      </c>
      <c r="G139" s="13">
        <v>24</v>
      </c>
      <c r="H139" s="35">
        <v>1</v>
      </c>
      <c r="I139" s="35">
        <v>1</v>
      </c>
      <c r="J139" s="34">
        <f>365/7*10</f>
        <v>521.42857142857144</v>
      </c>
      <c r="K139" s="13">
        <f t="shared" si="4"/>
        <v>4.6027397260273974E-2</v>
      </c>
      <c r="L139" s="7" t="s">
        <v>1138</v>
      </c>
      <c r="M139" s="7" t="s">
        <v>1137</v>
      </c>
    </row>
    <row r="140" spans="1:14" x14ac:dyDescent="0.25">
      <c r="A140" s="8" t="s">
        <v>69</v>
      </c>
      <c r="B140" s="29">
        <v>5.0999999999999996</v>
      </c>
      <c r="C140" s="7" t="s">
        <v>67</v>
      </c>
      <c r="D140" s="7" t="s">
        <v>154</v>
      </c>
      <c r="E140" s="7" t="s">
        <v>155</v>
      </c>
      <c r="F140" s="10" t="s">
        <v>79</v>
      </c>
      <c r="G140" s="42">
        <v>79</v>
      </c>
      <c r="H140" s="10">
        <v>1</v>
      </c>
      <c r="I140" s="11">
        <v>1</v>
      </c>
      <c r="J140" s="45">
        <f>365/7*10</f>
        <v>521.42857142857144</v>
      </c>
      <c r="K140" s="13">
        <f t="shared" si="4"/>
        <v>0.1515068493150685</v>
      </c>
      <c r="L140" s="8" t="s">
        <v>1293</v>
      </c>
      <c r="M140" s="8" t="s">
        <v>1294</v>
      </c>
    </row>
    <row r="141" spans="1:14" ht="22.5" x14ac:dyDescent="0.25">
      <c r="A141" s="8" t="s">
        <v>69</v>
      </c>
      <c r="B141" s="29">
        <v>5.6</v>
      </c>
      <c r="C141" s="7" t="s">
        <v>67</v>
      </c>
      <c r="D141" s="7" t="s">
        <v>154</v>
      </c>
      <c r="E141" s="7" t="s">
        <v>161</v>
      </c>
      <c r="F141" s="10" t="s">
        <v>28</v>
      </c>
      <c r="G141" s="30">
        <v>0.84707446808510656</v>
      </c>
      <c r="H141" s="10">
        <v>1</v>
      </c>
      <c r="I141" s="10">
        <v>1</v>
      </c>
      <c r="J141" s="33">
        <f>365/7</f>
        <v>52.142857142857146</v>
      </c>
      <c r="K141" s="13">
        <f t="shared" si="4"/>
        <v>1.6245263771495193E-2</v>
      </c>
      <c r="L141" s="8" t="s">
        <v>371</v>
      </c>
      <c r="M141" s="10" t="s">
        <v>162</v>
      </c>
    </row>
    <row r="142" spans="1:14" ht="22.5" x14ac:dyDescent="0.25">
      <c r="A142" s="8" t="s">
        <v>69</v>
      </c>
      <c r="B142" s="29">
        <v>5.2</v>
      </c>
      <c r="C142" s="7" t="s">
        <v>67</v>
      </c>
      <c r="D142" s="7" t="s">
        <v>154</v>
      </c>
      <c r="E142" s="7" t="s">
        <v>281</v>
      </c>
      <c r="F142" s="8" t="s">
        <v>79</v>
      </c>
      <c r="G142" s="9">
        <v>17</v>
      </c>
      <c r="H142" s="8">
        <v>1</v>
      </c>
      <c r="I142" s="8">
        <v>4</v>
      </c>
      <c r="J142" s="33">
        <f>365/7*4</f>
        <v>208.57142857142858</v>
      </c>
      <c r="K142" s="13">
        <f t="shared" si="4"/>
        <v>0.32602739726027397</v>
      </c>
      <c r="L142" s="8" t="s">
        <v>842</v>
      </c>
      <c r="M142" s="8" t="s">
        <v>282</v>
      </c>
    </row>
    <row r="143" spans="1:14" ht="22.5" x14ac:dyDescent="0.25">
      <c r="A143" s="6" t="s">
        <v>69</v>
      </c>
      <c r="B143" s="6">
        <v>5.2</v>
      </c>
      <c r="C143" s="7" t="s">
        <v>67</v>
      </c>
      <c r="D143" s="7" t="s">
        <v>154</v>
      </c>
      <c r="E143" s="7" t="s">
        <v>144</v>
      </c>
      <c r="F143" s="8" t="s">
        <v>79</v>
      </c>
      <c r="G143" s="9">
        <v>5</v>
      </c>
      <c r="H143" s="8">
        <v>1</v>
      </c>
      <c r="I143" s="8">
        <v>4</v>
      </c>
      <c r="J143" s="33">
        <f>365/7*4</f>
        <v>208.57142857142858</v>
      </c>
      <c r="K143" s="13">
        <f t="shared" si="4"/>
        <v>9.5890410958904104E-2</v>
      </c>
      <c r="L143" s="8" t="s">
        <v>842</v>
      </c>
      <c r="M143" s="8" t="s">
        <v>283</v>
      </c>
    </row>
    <row r="144" spans="1:14" ht="22.5" x14ac:dyDescent="0.25">
      <c r="A144" s="8" t="s">
        <v>69</v>
      </c>
      <c r="B144" s="29">
        <v>5.2</v>
      </c>
      <c r="C144" s="7" t="s">
        <v>67</v>
      </c>
      <c r="D144" s="7" t="s">
        <v>154</v>
      </c>
      <c r="E144" s="7" t="s">
        <v>156</v>
      </c>
      <c r="F144" s="8" t="s">
        <v>79</v>
      </c>
      <c r="G144" s="9">
        <v>1.2</v>
      </c>
      <c r="H144" s="8">
        <v>1</v>
      </c>
      <c r="I144" s="8">
        <v>4</v>
      </c>
      <c r="J144" s="33">
        <f>365/7*4</f>
        <v>208.57142857142858</v>
      </c>
      <c r="K144" s="13">
        <f t="shared" si="4"/>
        <v>2.3013698630136983E-2</v>
      </c>
      <c r="L144" s="8" t="s">
        <v>842</v>
      </c>
      <c r="M144" s="8" t="s">
        <v>284</v>
      </c>
    </row>
    <row r="145" spans="1:13" ht="22.5" x14ac:dyDescent="0.25">
      <c r="A145" s="6" t="s">
        <v>69</v>
      </c>
      <c r="B145" s="6">
        <v>5.2</v>
      </c>
      <c r="C145" s="7" t="s">
        <v>67</v>
      </c>
      <c r="D145" s="7" t="s">
        <v>154</v>
      </c>
      <c r="E145" s="7" t="s">
        <v>157</v>
      </c>
      <c r="F145" s="8" t="s">
        <v>50</v>
      </c>
      <c r="G145" s="30">
        <v>5.3163361661945228</v>
      </c>
      <c r="H145" s="8">
        <v>1</v>
      </c>
      <c r="I145" s="32">
        <v>1</v>
      </c>
      <c r="J145" s="33">
        <f>365/7*5</f>
        <v>260.71428571428572</v>
      </c>
      <c r="K145" s="13">
        <f t="shared" si="4"/>
        <v>2.0391426390883101E-2</v>
      </c>
      <c r="L145" s="8" t="s">
        <v>372</v>
      </c>
      <c r="M145" s="7" t="s">
        <v>285</v>
      </c>
    </row>
    <row r="146" spans="1:13" ht="33.75" x14ac:dyDescent="0.25">
      <c r="A146" s="6" t="s">
        <v>69</v>
      </c>
      <c r="B146" s="6">
        <v>5.2</v>
      </c>
      <c r="C146" s="7" t="s">
        <v>67</v>
      </c>
      <c r="D146" s="7" t="s">
        <v>154</v>
      </c>
      <c r="E146" s="7" t="s">
        <v>286</v>
      </c>
      <c r="F146" s="8" t="s">
        <v>50</v>
      </c>
      <c r="G146" s="30">
        <v>4.2530689329556184</v>
      </c>
      <c r="H146" s="8">
        <v>1</v>
      </c>
      <c r="I146" s="8">
        <v>1</v>
      </c>
      <c r="J146" s="33">
        <f>365/7*2</f>
        <v>104.28571428571429</v>
      </c>
      <c r="K146" s="13">
        <f t="shared" si="4"/>
        <v>4.0782852781766202E-2</v>
      </c>
      <c r="L146" s="8" t="s">
        <v>373</v>
      </c>
      <c r="M146" s="8" t="s">
        <v>287</v>
      </c>
    </row>
    <row r="147" spans="1:13" ht="33.75" x14ac:dyDescent="0.25">
      <c r="A147" s="6" t="s">
        <v>69</v>
      </c>
      <c r="B147" s="6">
        <v>5.4</v>
      </c>
      <c r="C147" s="7" t="s">
        <v>67</v>
      </c>
      <c r="D147" s="8" t="s">
        <v>154</v>
      </c>
      <c r="E147" s="8" t="s">
        <v>288</v>
      </c>
      <c r="F147" s="9" t="s">
        <v>74</v>
      </c>
      <c r="G147" s="9">
        <v>6.1652892561983474</v>
      </c>
      <c r="H147" s="8">
        <v>1</v>
      </c>
      <c r="I147" s="32">
        <v>1</v>
      </c>
      <c r="J147" s="33">
        <f>365/7*10</f>
        <v>521.42857142857144</v>
      </c>
      <c r="K147" s="13">
        <f t="shared" si="4"/>
        <v>1.1823842409147516E-2</v>
      </c>
      <c r="L147" s="8" t="s">
        <v>289</v>
      </c>
      <c r="M147" s="7" t="s">
        <v>290</v>
      </c>
    </row>
    <row r="148" spans="1:13" ht="45" x14ac:dyDescent="0.25">
      <c r="A148" s="8" t="s">
        <v>69</v>
      </c>
      <c r="B148" s="29">
        <v>5.2</v>
      </c>
      <c r="C148" s="7" t="s">
        <v>67</v>
      </c>
      <c r="D148" s="7" t="s">
        <v>154</v>
      </c>
      <c r="E148" s="7" t="s">
        <v>158</v>
      </c>
      <c r="F148" s="8" t="s">
        <v>74</v>
      </c>
      <c r="G148" s="30">
        <v>6.379603399433428</v>
      </c>
      <c r="H148" s="8">
        <v>1</v>
      </c>
      <c r="I148" s="48">
        <v>2</v>
      </c>
      <c r="J148" s="33">
        <f>365/7*4</f>
        <v>208.57142857142858</v>
      </c>
      <c r="K148" s="13">
        <f t="shared" si="4"/>
        <v>6.117427917264931E-2</v>
      </c>
      <c r="L148" s="8" t="s">
        <v>374</v>
      </c>
      <c r="M148" s="7" t="s">
        <v>159</v>
      </c>
    </row>
    <row r="149" spans="1:13" ht="56.25" x14ac:dyDescent="0.25">
      <c r="A149" s="8" t="s">
        <v>69</v>
      </c>
      <c r="B149" s="29">
        <v>5.0999999999999996</v>
      </c>
      <c r="C149" s="7" t="s">
        <v>67</v>
      </c>
      <c r="D149" s="7" t="s">
        <v>154</v>
      </c>
      <c r="E149" s="58" t="s">
        <v>291</v>
      </c>
      <c r="F149" s="17" t="s">
        <v>74</v>
      </c>
      <c r="G149" s="13">
        <v>10.841121495327101</v>
      </c>
      <c r="H149" s="17">
        <v>1</v>
      </c>
      <c r="I149" s="35">
        <v>1</v>
      </c>
      <c r="J149" s="34">
        <f>365/7*5</f>
        <v>260.71428571428572</v>
      </c>
      <c r="K149" s="13">
        <f t="shared" si="4"/>
        <v>4.158238381769299E-2</v>
      </c>
      <c r="L149" s="18" t="s">
        <v>375</v>
      </c>
      <c r="M149" s="7" t="s">
        <v>292</v>
      </c>
    </row>
    <row r="150" spans="1:13" ht="56.25" x14ac:dyDescent="0.25">
      <c r="A150" s="8" t="s">
        <v>69</v>
      </c>
      <c r="B150" s="29">
        <v>12.1</v>
      </c>
      <c r="C150" s="7" t="s">
        <v>67</v>
      </c>
      <c r="D150" s="7" t="s">
        <v>154</v>
      </c>
      <c r="E150" s="58" t="s">
        <v>120</v>
      </c>
      <c r="F150" s="17" t="s">
        <v>50</v>
      </c>
      <c r="G150" s="13">
        <v>13.18888888888889</v>
      </c>
      <c r="H150" s="17">
        <v>1</v>
      </c>
      <c r="I150" s="35">
        <v>1</v>
      </c>
      <c r="J150" s="34">
        <f>365/7*20</f>
        <v>1042.8571428571429</v>
      </c>
      <c r="K150" s="13">
        <f t="shared" si="4"/>
        <v>1.2646879756468799E-2</v>
      </c>
      <c r="L150" s="18" t="s">
        <v>376</v>
      </c>
      <c r="M150" s="60" t="s">
        <v>164</v>
      </c>
    </row>
    <row r="151" spans="1:13" ht="22.5" x14ac:dyDescent="0.25">
      <c r="A151" s="8" t="s">
        <v>69</v>
      </c>
      <c r="B151" s="29">
        <v>5.6</v>
      </c>
      <c r="C151" s="7" t="s">
        <v>67</v>
      </c>
      <c r="D151" s="7" t="s">
        <v>154</v>
      </c>
      <c r="E151" s="7" t="s">
        <v>163</v>
      </c>
      <c r="F151" s="17" t="s">
        <v>27</v>
      </c>
      <c r="G151" s="30">
        <v>1.3553191489361704</v>
      </c>
      <c r="H151" s="17">
        <v>1</v>
      </c>
      <c r="I151" s="35">
        <v>1</v>
      </c>
      <c r="J151" s="34">
        <f>365/7</f>
        <v>52.142857142857146</v>
      </c>
      <c r="K151" s="13">
        <f t="shared" si="4"/>
        <v>2.599242203439231E-2</v>
      </c>
      <c r="L151" s="18" t="s">
        <v>377</v>
      </c>
      <c r="M151" s="7" t="s">
        <v>293</v>
      </c>
    </row>
    <row r="152" spans="1:13" ht="22.5" x14ac:dyDescent="0.25">
      <c r="A152" s="8" t="s">
        <v>69</v>
      </c>
      <c r="B152" s="29">
        <v>5.6</v>
      </c>
      <c r="C152" s="7" t="s">
        <v>67</v>
      </c>
      <c r="D152" s="7" t="s">
        <v>154</v>
      </c>
      <c r="E152" s="10" t="s">
        <v>160</v>
      </c>
      <c r="F152" s="17" t="s">
        <v>28</v>
      </c>
      <c r="G152" s="30">
        <v>0.50824468085106389</v>
      </c>
      <c r="H152" s="10">
        <v>1</v>
      </c>
      <c r="I152" s="11">
        <v>1</v>
      </c>
      <c r="J152" s="45">
        <f>365/84</f>
        <v>4.3452380952380949</v>
      </c>
      <c r="K152" s="13">
        <f t="shared" si="4"/>
        <v>0.11696589915476539</v>
      </c>
      <c r="L152" s="8" t="s">
        <v>378</v>
      </c>
      <c r="M152" s="7" t="s">
        <v>294</v>
      </c>
    </row>
    <row r="153" spans="1:13" ht="22.5" x14ac:dyDescent="0.25">
      <c r="A153" s="6" t="s">
        <v>69</v>
      </c>
      <c r="B153" s="6">
        <v>5.6</v>
      </c>
      <c r="C153" s="7" t="s">
        <v>67</v>
      </c>
      <c r="D153" s="7" t="s">
        <v>154</v>
      </c>
      <c r="E153" s="8" t="s">
        <v>152</v>
      </c>
      <c r="F153" s="9" t="s">
        <v>28</v>
      </c>
      <c r="G153" s="30">
        <v>1.0729609929078014</v>
      </c>
      <c r="H153" s="8">
        <v>1</v>
      </c>
      <c r="I153" s="8">
        <v>1</v>
      </c>
      <c r="J153" s="33">
        <v>2</v>
      </c>
      <c r="K153" s="13">
        <f t="shared" si="4"/>
        <v>0.53648049645390072</v>
      </c>
      <c r="L153" s="10" t="s">
        <v>379</v>
      </c>
      <c r="M153" s="54" t="s">
        <v>266</v>
      </c>
    </row>
    <row r="154" spans="1:13" ht="33.75" x14ac:dyDescent="0.25">
      <c r="A154" s="6" t="s">
        <v>69</v>
      </c>
      <c r="B154" s="6">
        <v>5.6</v>
      </c>
      <c r="C154" s="7" t="s">
        <v>67</v>
      </c>
      <c r="D154" s="7" t="s">
        <v>154</v>
      </c>
      <c r="E154" s="7" t="s">
        <v>295</v>
      </c>
      <c r="F154" s="17" t="s">
        <v>28</v>
      </c>
      <c r="G154" s="30">
        <v>1.0164893617021278</v>
      </c>
      <c r="H154" s="10">
        <v>1</v>
      </c>
      <c r="I154" s="11">
        <v>1</v>
      </c>
      <c r="J154" s="45">
        <f>365/84*2</f>
        <v>8.6904761904761898</v>
      </c>
      <c r="K154" s="13">
        <f t="shared" si="4"/>
        <v>0.11696589915476539</v>
      </c>
      <c r="L154" s="8" t="s">
        <v>380</v>
      </c>
      <c r="M154" s="7" t="s">
        <v>296</v>
      </c>
    </row>
    <row r="155" spans="1:13" ht="45" x14ac:dyDescent="0.25">
      <c r="A155" s="8" t="s">
        <v>69</v>
      </c>
      <c r="B155" s="29">
        <v>5.4</v>
      </c>
      <c r="C155" s="7" t="s">
        <v>67</v>
      </c>
      <c r="D155" s="7" t="s">
        <v>154</v>
      </c>
      <c r="E155" s="7" t="s">
        <v>82</v>
      </c>
      <c r="F155" s="8" t="s">
        <v>27</v>
      </c>
      <c r="G155" s="9">
        <v>5.6515151515151523</v>
      </c>
      <c r="H155" s="8">
        <v>1</v>
      </c>
      <c r="I155" s="32">
        <v>1</v>
      </c>
      <c r="J155" s="33">
        <f>365/7*5</f>
        <v>260.71428571428572</v>
      </c>
      <c r="K155" s="13">
        <f t="shared" si="4"/>
        <v>2.1677044416770447E-2</v>
      </c>
      <c r="L155" s="8" t="s">
        <v>297</v>
      </c>
      <c r="M155" s="53" t="s">
        <v>298</v>
      </c>
    </row>
    <row r="156" spans="1:13" ht="22.5" x14ac:dyDescent="0.25">
      <c r="A156" s="8" t="s">
        <v>69</v>
      </c>
      <c r="B156" s="29">
        <v>5.6</v>
      </c>
      <c r="C156" s="7" t="s">
        <v>67</v>
      </c>
      <c r="D156" s="7" t="s">
        <v>154</v>
      </c>
      <c r="E156" s="7" t="s">
        <v>124</v>
      </c>
      <c r="F156" s="8" t="s">
        <v>27</v>
      </c>
      <c r="G156" s="30">
        <v>1.1294326241134753</v>
      </c>
      <c r="H156" s="8">
        <v>50</v>
      </c>
      <c r="I156" s="32">
        <v>1</v>
      </c>
      <c r="J156" s="33">
        <v>50</v>
      </c>
      <c r="K156" s="13">
        <f t="shared" si="4"/>
        <v>2.2588652482269506E-2</v>
      </c>
      <c r="L156" s="8" t="s">
        <v>299</v>
      </c>
      <c r="M156" s="7" t="s">
        <v>300</v>
      </c>
    </row>
    <row r="157" spans="1:13" x14ac:dyDescent="0.25">
      <c r="A157" s="6" t="s">
        <v>69</v>
      </c>
      <c r="B157" s="6">
        <v>5.2</v>
      </c>
      <c r="C157" s="7" t="s">
        <v>67</v>
      </c>
      <c r="D157" s="7" t="s">
        <v>381</v>
      </c>
      <c r="E157" s="7"/>
      <c r="F157" s="6"/>
      <c r="G157" s="13">
        <v>200</v>
      </c>
      <c r="H157" s="35">
        <v>2</v>
      </c>
      <c r="I157" s="35">
        <v>1</v>
      </c>
      <c r="J157" s="34">
        <f>365/7*10</f>
        <v>521.42857142857144</v>
      </c>
      <c r="K157" s="13">
        <f t="shared" si="4"/>
        <v>0.38356164383561642</v>
      </c>
      <c r="L157" s="7"/>
      <c r="M157" s="7" t="s">
        <v>1122</v>
      </c>
    </row>
    <row r="158" spans="1:13" ht="22.5" x14ac:dyDescent="0.25">
      <c r="A158" s="10" t="s">
        <v>69</v>
      </c>
      <c r="B158" s="28">
        <v>5.0999999999999996</v>
      </c>
      <c r="C158" s="7" t="s">
        <v>67</v>
      </c>
      <c r="D158" s="7" t="s">
        <v>381</v>
      </c>
      <c r="E158" s="7" t="s">
        <v>71</v>
      </c>
      <c r="F158" s="7" t="s">
        <v>79</v>
      </c>
      <c r="G158" s="13">
        <v>80</v>
      </c>
      <c r="H158" s="35">
        <v>1</v>
      </c>
      <c r="I158" s="36">
        <v>1</v>
      </c>
      <c r="J158" s="34">
        <f>365/7*10</f>
        <v>521.42857142857144</v>
      </c>
      <c r="K158" s="13">
        <f t="shared" si="4"/>
        <v>0.15342465753424658</v>
      </c>
      <c r="L158" s="7"/>
      <c r="M158" s="8"/>
    </row>
    <row r="159" spans="1:13" ht="22.5" x14ac:dyDescent="0.25">
      <c r="A159" s="6" t="s">
        <v>69</v>
      </c>
      <c r="B159" s="6">
        <v>5.5</v>
      </c>
      <c r="C159" s="7" t="s">
        <v>67</v>
      </c>
      <c r="D159" s="7" t="s">
        <v>381</v>
      </c>
      <c r="E159" s="7" t="s">
        <v>72</v>
      </c>
      <c r="F159" s="7" t="s">
        <v>50</v>
      </c>
      <c r="G159" s="13">
        <v>5</v>
      </c>
      <c r="H159" s="35">
        <v>1</v>
      </c>
      <c r="I159" s="36">
        <v>1</v>
      </c>
      <c r="J159" s="34">
        <f>365/7*5</f>
        <v>260.71428571428572</v>
      </c>
      <c r="K159" s="13">
        <f t="shared" si="4"/>
        <v>1.9178082191780823E-2</v>
      </c>
      <c r="L159" s="7" t="s">
        <v>1136</v>
      </c>
      <c r="M159" s="38" t="s">
        <v>1126</v>
      </c>
    </row>
    <row r="160" spans="1:13" x14ac:dyDescent="0.25">
      <c r="A160" s="6" t="s">
        <v>69</v>
      </c>
      <c r="B160" s="6">
        <v>5.0999999999999996</v>
      </c>
      <c r="C160" s="7" t="s">
        <v>67</v>
      </c>
      <c r="D160" s="8" t="s">
        <v>381</v>
      </c>
      <c r="E160" s="8" t="s">
        <v>1295</v>
      </c>
      <c r="F160" s="8" t="s">
        <v>1210</v>
      </c>
      <c r="G160" s="9">
        <v>469</v>
      </c>
      <c r="H160" s="8"/>
      <c r="I160" s="8">
        <v>1</v>
      </c>
      <c r="J160" s="34">
        <f>365/7*25</f>
        <v>1303.5714285714287</v>
      </c>
      <c r="K160" s="13">
        <f t="shared" si="4"/>
        <v>0.35978082191780819</v>
      </c>
      <c r="L160" s="8" t="s">
        <v>1296</v>
      </c>
      <c r="M160" s="8" t="s">
        <v>1297</v>
      </c>
    </row>
    <row r="161" spans="1:13" x14ac:dyDescent="0.25">
      <c r="A161" s="6" t="s">
        <v>69</v>
      </c>
      <c r="B161" s="6">
        <v>5.0999999999999996</v>
      </c>
      <c r="C161" s="7" t="s">
        <v>67</v>
      </c>
      <c r="D161" s="8" t="s">
        <v>381</v>
      </c>
      <c r="E161" s="10" t="s">
        <v>301</v>
      </c>
      <c r="F161" s="7" t="s">
        <v>1210</v>
      </c>
      <c r="G161" s="9">
        <v>159</v>
      </c>
      <c r="H161" s="10">
        <v>1</v>
      </c>
      <c r="I161" s="11">
        <v>1</v>
      </c>
      <c r="J161" s="45">
        <f>365/7*25</f>
        <v>1303.5714285714287</v>
      </c>
      <c r="K161" s="13">
        <f t="shared" si="4"/>
        <v>0.12197260273972602</v>
      </c>
      <c r="L161" s="8" t="s">
        <v>301</v>
      </c>
      <c r="M161" s="7" t="s">
        <v>1298</v>
      </c>
    </row>
    <row r="162" spans="1:13" ht="22.5" x14ac:dyDescent="0.25">
      <c r="A162" s="6" t="s">
        <v>69</v>
      </c>
      <c r="B162" s="6">
        <v>5.0999999999999996</v>
      </c>
      <c r="C162" s="7" t="s">
        <v>67</v>
      </c>
      <c r="D162" s="8" t="s">
        <v>381</v>
      </c>
      <c r="E162" s="10" t="s">
        <v>165</v>
      </c>
      <c r="F162" s="7" t="s">
        <v>1210</v>
      </c>
      <c r="G162" s="9">
        <v>889</v>
      </c>
      <c r="H162" s="10">
        <v>1</v>
      </c>
      <c r="I162" s="11">
        <v>1</v>
      </c>
      <c r="J162" s="45">
        <f>365/7*8</f>
        <v>417.14285714285717</v>
      </c>
      <c r="K162" s="13">
        <f t="shared" ref="K162:K193" si="5">G162*I162/J162</f>
        <v>2.1311643835616438</v>
      </c>
      <c r="L162" s="8" t="s">
        <v>1299</v>
      </c>
      <c r="M162" s="7" t="s">
        <v>1300</v>
      </c>
    </row>
    <row r="163" spans="1:13" x14ac:dyDescent="0.25">
      <c r="A163" s="6" t="s">
        <v>69</v>
      </c>
      <c r="B163" s="6">
        <v>5.0999999999999996</v>
      </c>
      <c r="C163" s="7" t="s">
        <v>67</v>
      </c>
      <c r="D163" s="8" t="s">
        <v>381</v>
      </c>
      <c r="E163" s="10" t="s">
        <v>168</v>
      </c>
      <c r="F163" s="7" t="s">
        <v>1210</v>
      </c>
      <c r="G163" s="9">
        <v>799</v>
      </c>
      <c r="H163" s="10">
        <v>1</v>
      </c>
      <c r="I163" s="11">
        <v>2</v>
      </c>
      <c r="J163" s="45">
        <f>365/7*30</f>
        <v>1564.2857142857144</v>
      </c>
      <c r="K163" s="13">
        <f t="shared" si="5"/>
        <v>1.0215525114155251</v>
      </c>
      <c r="L163" s="8" t="s">
        <v>1301</v>
      </c>
      <c r="M163" s="7" t="s">
        <v>1302</v>
      </c>
    </row>
    <row r="164" spans="1:13" x14ac:dyDescent="0.25">
      <c r="A164" s="6" t="s">
        <v>69</v>
      </c>
      <c r="B164" s="6">
        <v>5.0999999999999996</v>
      </c>
      <c r="C164" s="7" t="s">
        <v>67</v>
      </c>
      <c r="D164" s="8" t="s">
        <v>381</v>
      </c>
      <c r="E164" s="10" t="s">
        <v>169</v>
      </c>
      <c r="F164" s="7" t="s">
        <v>1210</v>
      </c>
      <c r="G164" s="9">
        <v>549</v>
      </c>
      <c r="H164" s="10">
        <v>1</v>
      </c>
      <c r="I164" s="11">
        <v>2</v>
      </c>
      <c r="J164" s="45">
        <f>365/7*30</f>
        <v>1564.2857142857144</v>
      </c>
      <c r="K164" s="13">
        <f t="shared" si="5"/>
        <v>0.70191780821917804</v>
      </c>
      <c r="L164" s="8"/>
      <c r="M164" s="7" t="s">
        <v>1305</v>
      </c>
    </row>
    <row r="165" spans="1:13" ht="22.5" x14ac:dyDescent="0.25">
      <c r="A165" s="6" t="s">
        <v>69</v>
      </c>
      <c r="B165" s="6">
        <v>5.0999999999999996</v>
      </c>
      <c r="C165" s="7" t="s">
        <v>67</v>
      </c>
      <c r="D165" s="8" t="s">
        <v>381</v>
      </c>
      <c r="E165" s="10" t="s">
        <v>170</v>
      </c>
      <c r="F165" s="7" t="s">
        <v>1210</v>
      </c>
      <c r="G165" s="9">
        <v>199</v>
      </c>
      <c r="H165" s="10">
        <v>1</v>
      </c>
      <c r="I165" s="11">
        <v>2</v>
      </c>
      <c r="J165" s="45">
        <f>365/7*30</f>
        <v>1564.2857142857144</v>
      </c>
      <c r="K165" s="13">
        <f t="shared" si="5"/>
        <v>0.25442922374429222</v>
      </c>
      <c r="L165" s="8" t="s">
        <v>1304</v>
      </c>
      <c r="M165" s="7" t="s">
        <v>1303</v>
      </c>
    </row>
    <row r="166" spans="1:13" ht="45" x14ac:dyDescent="0.25">
      <c r="A166" s="6" t="s">
        <v>69</v>
      </c>
      <c r="B166" s="6">
        <v>5.0999999999999996</v>
      </c>
      <c r="C166" s="7" t="s">
        <v>67</v>
      </c>
      <c r="D166" s="8" t="s">
        <v>381</v>
      </c>
      <c r="E166" s="8" t="s">
        <v>303</v>
      </c>
      <c r="F166" s="8" t="s">
        <v>79</v>
      </c>
      <c r="G166" s="13">
        <v>10.841121495327101</v>
      </c>
      <c r="H166" s="8">
        <v>1</v>
      </c>
      <c r="I166" s="32">
        <v>1</v>
      </c>
      <c r="J166" s="33">
        <f>365/7*20</f>
        <v>1042.8571428571429</v>
      </c>
      <c r="K166" s="13">
        <f t="shared" si="5"/>
        <v>1.0395595954423248E-2</v>
      </c>
      <c r="L166" s="8" t="s">
        <v>382</v>
      </c>
      <c r="M166" s="7" t="s">
        <v>304</v>
      </c>
    </row>
    <row r="167" spans="1:13" ht="22.5" x14ac:dyDescent="0.25">
      <c r="A167" s="6" t="s">
        <v>69</v>
      </c>
      <c r="B167" s="6">
        <v>5.0999999999999996</v>
      </c>
      <c r="C167" s="7" t="s">
        <v>67</v>
      </c>
      <c r="D167" s="8" t="s">
        <v>381</v>
      </c>
      <c r="E167" s="10" t="s">
        <v>171</v>
      </c>
      <c r="F167" s="10" t="s">
        <v>1210</v>
      </c>
      <c r="G167" s="42">
        <v>25</v>
      </c>
      <c r="H167" s="10">
        <v>1</v>
      </c>
      <c r="I167" s="11">
        <v>2</v>
      </c>
      <c r="J167" s="45">
        <f>365/7*5</f>
        <v>260.71428571428572</v>
      </c>
      <c r="K167" s="13">
        <f t="shared" si="5"/>
        <v>0.19178082191780821</v>
      </c>
      <c r="L167" s="8" t="s">
        <v>1306</v>
      </c>
      <c r="M167" s="7" t="s">
        <v>1307</v>
      </c>
    </row>
    <row r="168" spans="1:13" ht="33.75" x14ac:dyDescent="0.25">
      <c r="A168" s="6" t="s">
        <v>69</v>
      </c>
      <c r="B168" s="6">
        <v>5.0999999999999996</v>
      </c>
      <c r="C168" s="7" t="s">
        <v>67</v>
      </c>
      <c r="D168" s="8" t="s">
        <v>381</v>
      </c>
      <c r="E168" s="61" t="s">
        <v>305</v>
      </c>
      <c r="F168" s="7" t="s">
        <v>79</v>
      </c>
      <c r="G168" s="13">
        <v>74.803738317757009</v>
      </c>
      <c r="H168" s="10">
        <v>1</v>
      </c>
      <c r="I168" s="11">
        <v>1</v>
      </c>
      <c r="J168" s="45">
        <f>365/7*20</f>
        <v>1042.8571428571429</v>
      </c>
      <c r="K168" s="13">
        <f t="shared" si="5"/>
        <v>7.1729612085520422E-2</v>
      </c>
      <c r="L168" s="8" t="s">
        <v>383</v>
      </c>
      <c r="M168" s="7" t="s">
        <v>306</v>
      </c>
    </row>
    <row r="169" spans="1:13" ht="56.25" x14ac:dyDescent="0.25">
      <c r="A169" s="6" t="s">
        <v>69</v>
      </c>
      <c r="B169" s="6">
        <v>5.2</v>
      </c>
      <c r="C169" s="7" t="s">
        <v>67</v>
      </c>
      <c r="D169" s="8" t="s">
        <v>381</v>
      </c>
      <c r="E169" s="10" t="s">
        <v>172</v>
      </c>
      <c r="F169" s="8" t="s">
        <v>50</v>
      </c>
      <c r="G169" s="30">
        <v>26.581680830972616</v>
      </c>
      <c r="H169" s="8">
        <v>1</v>
      </c>
      <c r="I169" s="32">
        <v>1</v>
      </c>
      <c r="J169" s="45">
        <f>365/7*8</f>
        <v>417.14285714285717</v>
      </c>
      <c r="K169" s="13">
        <f t="shared" si="5"/>
        <v>6.3723207471509696E-2</v>
      </c>
      <c r="L169" s="8" t="s">
        <v>384</v>
      </c>
      <c r="M169" s="7" t="s">
        <v>307</v>
      </c>
    </row>
    <row r="170" spans="1:13" ht="45" x14ac:dyDescent="0.25">
      <c r="A170" s="6" t="s">
        <v>69</v>
      </c>
      <c r="B170" s="6">
        <v>5.2</v>
      </c>
      <c r="C170" s="7" t="s">
        <v>67</v>
      </c>
      <c r="D170" s="8" t="s">
        <v>381</v>
      </c>
      <c r="E170" s="10" t="s">
        <v>173</v>
      </c>
      <c r="F170" s="8" t="s">
        <v>79</v>
      </c>
      <c r="G170" s="30">
        <v>37.214353163361658</v>
      </c>
      <c r="H170" s="8">
        <v>2</v>
      </c>
      <c r="I170" s="32">
        <v>2</v>
      </c>
      <c r="J170" s="45">
        <f>365/7*4</f>
        <v>208.57142857142858</v>
      </c>
      <c r="K170" s="13">
        <f t="shared" si="5"/>
        <v>0.35684996184045426</v>
      </c>
      <c r="L170" s="8" t="s">
        <v>385</v>
      </c>
      <c r="M170" s="7" t="s">
        <v>308</v>
      </c>
    </row>
    <row r="171" spans="1:13" ht="22.5" x14ac:dyDescent="0.25">
      <c r="A171" s="6" t="s">
        <v>69</v>
      </c>
      <c r="B171" s="6">
        <v>5.2</v>
      </c>
      <c r="C171" s="7" t="s">
        <v>67</v>
      </c>
      <c r="D171" s="8" t="s">
        <v>381</v>
      </c>
      <c r="E171" s="10" t="s">
        <v>174</v>
      </c>
      <c r="F171" s="8" t="s">
        <v>79</v>
      </c>
      <c r="G171" s="42">
        <v>22</v>
      </c>
      <c r="H171" s="10">
        <v>1</v>
      </c>
      <c r="I171" s="11">
        <v>4</v>
      </c>
      <c r="J171" s="45">
        <f>365/7*5</f>
        <v>260.71428571428572</v>
      </c>
      <c r="K171" s="13">
        <f t="shared" si="5"/>
        <v>0.33753424657534248</v>
      </c>
      <c r="L171" s="8" t="s">
        <v>1308</v>
      </c>
      <c r="M171" s="7" t="s">
        <v>1313</v>
      </c>
    </row>
    <row r="172" spans="1:13" ht="22.5" x14ac:dyDescent="0.25">
      <c r="A172" s="6" t="s">
        <v>69</v>
      </c>
      <c r="B172" s="6">
        <v>5.2</v>
      </c>
      <c r="C172" s="7" t="s">
        <v>67</v>
      </c>
      <c r="D172" s="8" t="s">
        <v>381</v>
      </c>
      <c r="E172" s="10" t="s">
        <v>309</v>
      </c>
      <c r="F172" s="8" t="s">
        <v>50</v>
      </c>
      <c r="G172" s="42">
        <v>25</v>
      </c>
      <c r="H172" s="10">
        <v>1</v>
      </c>
      <c r="I172" s="11">
        <v>4</v>
      </c>
      <c r="J172" s="45">
        <f t="shared" ref="J172:J173" si="6">365/7*5</f>
        <v>260.71428571428572</v>
      </c>
      <c r="K172" s="13">
        <f t="shared" si="5"/>
        <v>0.38356164383561642</v>
      </c>
      <c r="L172" s="8" t="s">
        <v>1308</v>
      </c>
      <c r="M172" s="7" t="s">
        <v>1309</v>
      </c>
    </row>
    <row r="173" spans="1:13" ht="22.5" x14ac:dyDescent="0.25">
      <c r="A173" s="6" t="s">
        <v>69</v>
      </c>
      <c r="B173" s="6">
        <v>5.2</v>
      </c>
      <c r="C173" s="7" t="s">
        <v>67</v>
      </c>
      <c r="D173" s="8" t="s">
        <v>381</v>
      </c>
      <c r="E173" s="10" t="s">
        <v>175</v>
      </c>
      <c r="F173" s="8" t="s">
        <v>79</v>
      </c>
      <c r="G173" s="42">
        <v>40</v>
      </c>
      <c r="H173" s="10">
        <v>1</v>
      </c>
      <c r="I173" s="11">
        <v>4</v>
      </c>
      <c r="J173" s="45">
        <f t="shared" si="6"/>
        <v>260.71428571428572</v>
      </c>
      <c r="K173" s="13">
        <f t="shared" si="5"/>
        <v>0.61369863013698633</v>
      </c>
      <c r="L173" s="8" t="s">
        <v>1308</v>
      </c>
      <c r="M173" s="7" t="s">
        <v>1312</v>
      </c>
    </row>
    <row r="174" spans="1:13" ht="22.5" x14ac:dyDescent="0.25">
      <c r="A174" s="6" t="s">
        <v>69</v>
      </c>
      <c r="B174" s="6">
        <v>5.2</v>
      </c>
      <c r="C174" s="7" t="s">
        <v>67</v>
      </c>
      <c r="D174" s="8" t="s">
        <v>381</v>
      </c>
      <c r="E174" s="10" t="s">
        <v>176</v>
      </c>
      <c r="F174" s="8" t="s">
        <v>79</v>
      </c>
      <c r="G174" s="42">
        <v>11</v>
      </c>
      <c r="H174" s="10">
        <v>2</v>
      </c>
      <c r="I174" s="11">
        <v>4</v>
      </c>
      <c r="J174" s="45">
        <f>365/7*5</f>
        <v>260.71428571428572</v>
      </c>
      <c r="K174" s="13">
        <f t="shared" si="5"/>
        <v>0.16876712328767124</v>
      </c>
      <c r="L174" s="8" t="s">
        <v>1311</v>
      </c>
      <c r="M174" s="7" t="s">
        <v>1310</v>
      </c>
    </row>
    <row r="175" spans="1:13" ht="33.75" x14ac:dyDescent="0.25">
      <c r="A175" s="6" t="s">
        <v>69</v>
      </c>
      <c r="B175" s="6">
        <v>5.2</v>
      </c>
      <c r="C175" s="7" t="s">
        <v>67</v>
      </c>
      <c r="D175" s="8" t="s">
        <v>381</v>
      </c>
      <c r="E175" s="10" t="s">
        <v>167</v>
      </c>
      <c r="F175" s="10" t="s">
        <v>50</v>
      </c>
      <c r="G175" s="30">
        <v>7.4428706326723324</v>
      </c>
      <c r="H175" s="10">
        <v>1</v>
      </c>
      <c r="I175" s="11">
        <v>2</v>
      </c>
      <c r="J175" s="45">
        <f>365/7*4</f>
        <v>208.57142857142858</v>
      </c>
      <c r="K175" s="13">
        <f t="shared" si="5"/>
        <v>7.1369992368090857E-2</v>
      </c>
      <c r="L175" s="8" t="s">
        <v>386</v>
      </c>
      <c r="M175" s="8" t="s">
        <v>310</v>
      </c>
    </row>
    <row r="176" spans="1:13" ht="45" x14ac:dyDescent="0.25">
      <c r="A176" s="6" t="s">
        <v>69</v>
      </c>
      <c r="B176" s="6">
        <v>5.2</v>
      </c>
      <c r="C176" s="7" t="s">
        <v>67</v>
      </c>
      <c r="D176" s="8" t="s">
        <v>381</v>
      </c>
      <c r="E176" s="8" t="s">
        <v>311</v>
      </c>
      <c r="F176" s="8" t="s">
        <v>50</v>
      </c>
      <c r="G176" s="30">
        <v>5.3163361661945228</v>
      </c>
      <c r="H176" s="8">
        <v>2</v>
      </c>
      <c r="I176" s="8">
        <v>4</v>
      </c>
      <c r="J176" s="33">
        <f>365/7*4</f>
        <v>208.57142857142858</v>
      </c>
      <c r="K176" s="13">
        <f t="shared" si="5"/>
        <v>0.1019571319544155</v>
      </c>
      <c r="L176" s="8" t="s">
        <v>387</v>
      </c>
      <c r="M176" s="8" t="s">
        <v>312</v>
      </c>
    </row>
    <row r="177" spans="1:13" ht="22.5" x14ac:dyDescent="0.25">
      <c r="A177" s="6" t="s">
        <v>69</v>
      </c>
      <c r="B177" s="6">
        <v>5.3</v>
      </c>
      <c r="C177" s="7" t="s">
        <v>67</v>
      </c>
      <c r="D177" s="8" t="s">
        <v>381</v>
      </c>
      <c r="E177" s="8" t="s">
        <v>313</v>
      </c>
      <c r="F177" s="8" t="s">
        <v>74</v>
      </c>
      <c r="G177" s="24">
        <v>36.858921161825727</v>
      </c>
      <c r="H177" s="8">
        <v>1</v>
      </c>
      <c r="I177" s="32">
        <v>1</v>
      </c>
      <c r="J177" s="12">
        <f>365/7*10</f>
        <v>521.42857142857144</v>
      </c>
      <c r="K177" s="13">
        <f t="shared" si="5"/>
        <v>7.0688341954186329E-2</v>
      </c>
      <c r="L177" s="8" t="s">
        <v>388</v>
      </c>
      <c r="M177" s="7" t="s">
        <v>314</v>
      </c>
    </row>
    <row r="178" spans="1:13" x14ac:dyDescent="0.25">
      <c r="A178" s="6" t="s">
        <v>69</v>
      </c>
      <c r="B178" s="6">
        <v>5.3</v>
      </c>
      <c r="C178" s="7" t="s">
        <v>67</v>
      </c>
      <c r="D178" s="8" t="s">
        <v>381</v>
      </c>
      <c r="E178" s="8" t="s">
        <v>1314</v>
      </c>
      <c r="F178" s="8" t="s">
        <v>79</v>
      </c>
      <c r="G178" s="30">
        <v>129</v>
      </c>
      <c r="H178" s="8">
        <v>1</v>
      </c>
      <c r="I178" s="32">
        <v>1</v>
      </c>
      <c r="J178" s="12">
        <f>365/7*25</f>
        <v>1303.5714285714287</v>
      </c>
      <c r="K178" s="13">
        <f t="shared" si="5"/>
        <v>9.8958904109589033E-2</v>
      </c>
      <c r="L178" s="8" t="s">
        <v>1208</v>
      </c>
      <c r="M178" s="7" t="s">
        <v>1315</v>
      </c>
    </row>
    <row r="179" spans="1:13" ht="22.5" x14ac:dyDescent="0.25">
      <c r="A179" s="10" t="s">
        <v>69</v>
      </c>
      <c r="B179" s="28">
        <v>5.0999999999999996</v>
      </c>
      <c r="C179" s="7" t="s">
        <v>67</v>
      </c>
      <c r="D179" s="8" t="s">
        <v>389</v>
      </c>
      <c r="E179" s="7" t="s">
        <v>71</v>
      </c>
      <c r="F179" s="7" t="s">
        <v>79</v>
      </c>
      <c r="G179" s="13">
        <v>40</v>
      </c>
      <c r="H179" s="35">
        <v>1</v>
      </c>
      <c r="I179" s="36">
        <v>1</v>
      </c>
      <c r="J179" s="34">
        <f>365/7*10</f>
        <v>521.42857142857144</v>
      </c>
      <c r="K179" s="13">
        <f t="shared" si="5"/>
        <v>7.6712328767123292E-2</v>
      </c>
      <c r="L179" s="7"/>
      <c r="M179" s="8"/>
    </row>
    <row r="180" spans="1:13" ht="22.5" x14ac:dyDescent="0.25">
      <c r="A180" s="6" t="s">
        <v>69</v>
      </c>
      <c r="B180" s="6">
        <v>5.5</v>
      </c>
      <c r="C180" s="7" t="s">
        <v>67</v>
      </c>
      <c r="D180" s="7" t="s">
        <v>389</v>
      </c>
      <c r="E180" s="7" t="s">
        <v>72</v>
      </c>
      <c r="F180" s="7" t="s">
        <v>50</v>
      </c>
      <c r="G180" s="13">
        <v>5</v>
      </c>
      <c r="H180" s="35">
        <v>1</v>
      </c>
      <c r="I180" s="36">
        <v>1</v>
      </c>
      <c r="J180" s="34">
        <f>365/7*5</f>
        <v>260.71428571428572</v>
      </c>
      <c r="K180" s="13">
        <f t="shared" si="5"/>
        <v>1.9178082191780823E-2</v>
      </c>
      <c r="L180" s="7" t="s">
        <v>1136</v>
      </c>
      <c r="M180" s="38" t="s">
        <v>1126</v>
      </c>
    </row>
    <row r="181" spans="1:13" x14ac:dyDescent="0.25">
      <c r="A181" s="6" t="s">
        <v>69</v>
      </c>
      <c r="B181" s="6">
        <v>5.2</v>
      </c>
      <c r="C181" s="7" t="s">
        <v>67</v>
      </c>
      <c r="D181" s="8" t="s">
        <v>389</v>
      </c>
      <c r="E181" s="7"/>
      <c r="F181" s="6"/>
      <c r="G181" s="13">
        <v>200</v>
      </c>
      <c r="H181" s="35">
        <v>2</v>
      </c>
      <c r="I181" s="35">
        <v>1</v>
      </c>
      <c r="J181" s="34">
        <f>365/7*10</f>
        <v>521.42857142857144</v>
      </c>
      <c r="K181" s="13">
        <f t="shared" si="5"/>
        <v>0.38356164383561642</v>
      </c>
      <c r="L181" s="7"/>
      <c r="M181" s="7" t="s">
        <v>1122</v>
      </c>
    </row>
    <row r="182" spans="1:13" x14ac:dyDescent="0.25">
      <c r="A182" s="6" t="s">
        <v>69</v>
      </c>
      <c r="B182" s="6">
        <v>5.0999999999999996</v>
      </c>
      <c r="C182" s="7" t="s">
        <v>67</v>
      </c>
      <c r="D182" s="8" t="s">
        <v>389</v>
      </c>
      <c r="E182" s="7" t="s">
        <v>390</v>
      </c>
      <c r="F182" s="8" t="s">
        <v>79</v>
      </c>
      <c r="G182" s="9">
        <v>269</v>
      </c>
      <c r="H182" s="8">
        <v>1</v>
      </c>
      <c r="I182" s="8">
        <v>1</v>
      </c>
      <c r="J182" s="34">
        <f>365/7*40</f>
        <v>2085.7142857142858</v>
      </c>
      <c r="K182" s="13">
        <f t="shared" si="5"/>
        <v>0.12897260273972602</v>
      </c>
      <c r="L182" s="7" t="s">
        <v>1316</v>
      </c>
      <c r="M182" s="8" t="s">
        <v>1317</v>
      </c>
    </row>
    <row r="183" spans="1:13" ht="22.5" x14ac:dyDescent="0.25">
      <c r="A183" s="6" t="s">
        <v>69</v>
      </c>
      <c r="B183" s="6">
        <v>5.0999999999999996</v>
      </c>
      <c r="C183" s="7" t="s">
        <v>67</v>
      </c>
      <c r="D183" s="8" t="s">
        <v>389</v>
      </c>
      <c r="E183" s="7" t="s">
        <v>391</v>
      </c>
      <c r="F183" s="7" t="s">
        <v>166</v>
      </c>
      <c r="G183" s="13">
        <v>6.4938317757009338</v>
      </c>
      <c r="H183" s="10">
        <v>1</v>
      </c>
      <c r="I183" s="11">
        <v>1</v>
      </c>
      <c r="J183" s="12">
        <f>365/7*16</f>
        <v>834.28571428571433</v>
      </c>
      <c r="K183" s="13">
        <f t="shared" si="5"/>
        <v>7.7837024708744063E-3</v>
      </c>
      <c r="L183" s="7"/>
      <c r="M183" s="7" t="s">
        <v>302</v>
      </c>
    </row>
    <row r="184" spans="1:13" ht="45" x14ac:dyDescent="0.25">
      <c r="A184" s="6" t="s">
        <v>69</v>
      </c>
      <c r="B184" s="6">
        <v>5.0999999999999996</v>
      </c>
      <c r="C184" s="7" t="s">
        <v>67</v>
      </c>
      <c r="D184" s="8" t="s">
        <v>389</v>
      </c>
      <c r="E184" s="7" t="s">
        <v>392</v>
      </c>
      <c r="F184" s="7" t="s">
        <v>74</v>
      </c>
      <c r="G184" s="13">
        <v>195.14018691588782</v>
      </c>
      <c r="H184" s="35">
        <v>1</v>
      </c>
      <c r="I184" s="35">
        <v>1</v>
      </c>
      <c r="J184" s="34">
        <f>365/7*40</f>
        <v>2085.7142857142858</v>
      </c>
      <c r="K184" s="13">
        <f t="shared" si="5"/>
        <v>9.3560363589809223E-2</v>
      </c>
      <c r="L184" s="7" t="s">
        <v>393</v>
      </c>
      <c r="M184" s="7" t="s">
        <v>394</v>
      </c>
    </row>
    <row r="185" spans="1:13" ht="56.25" x14ac:dyDescent="0.25">
      <c r="A185" s="6" t="s">
        <v>69</v>
      </c>
      <c r="B185" s="6">
        <v>5.0999999999999996</v>
      </c>
      <c r="C185" s="7" t="s">
        <v>67</v>
      </c>
      <c r="D185" s="8" t="s">
        <v>389</v>
      </c>
      <c r="E185" s="7" t="s">
        <v>169</v>
      </c>
      <c r="F185" s="7" t="s">
        <v>74</v>
      </c>
      <c r="G185" s="13">
        <v>260.18691588785043</v>
      </c>
      <c r="H185" s="8">
        <v>1</v>
      </c>
      <c r="I185" s="32">
        <v>1</v>
      </c>
      <c r="J185" s="33">
        <f>365/7*40</f>
        <v>2085.7142857142858</v>
      </c>
      <c r="K185" s="13">
        <f t="shared" si="5"/>
        <v>0.12474715145307896</v>
      </c>
      <c r="L185" s="7" t="s">
        <v>395</v>
      </c>
      <c r="M185" s="7" t="s">
        <v>396</v>
      </c>
    </row>
    <row r="186" spans="1:13" ht="45" x14ac:dyDescent="0.25">
      <c r="A186" s="6" t="s">
        <v>69</v>
      </c>
      <c r="B186" s="6">
        <v>5.0999999999999996</v>
      </c>
      <c r="C186" s="7" t="s">
        <v>67</v>
      </c>
      <c r="D186" s="8" t="s">
        <v>389</v>
      </c>
      <c r="E186" s="7" t="s">
        <v>170</v>
      </c>
      <c r="F186" s="7" t="s">
        <v>74</v>
      </c>
      <c r="G186" s="13">
        <v>140.93457943925233</v>
      </c>
      <c r="H186" s="8">
        <v>1</v>
      </c>
      <c r="I186" s="32">
        <v>2</v>
      </c>
      <c r="J186" s="33">
        <f>365/7*40</f>
        <v>2085.7142857142858</v>
      </c>
      <c r="K186" s="13">
        <f t="shared" si="5"/>
        <v>0.13514274740750223</v>
      </c>
      <c r="L186" s="7" t="s">
        <v>397</v>
      </c>
      <c r="M186" s="7" t="s">
        <v>398</v>
      </c>
    </row>
    <row r="187" spans="1:13" x14ac:dyDescent="0.25">
      <c r="A187" s="6" t="s">
        <v>69</v>
      </c>
      <c r="B187" s="6">
        <v>5.0999999999999996</v>
      </c>
      <c r="C187" s="7" t="s">
        <v>67</v>
      </c>
      <c r="D187" s="8" t="s">
        <v>389</v>
      </c>
      <c r="E187" s="7" t="s">
        <v>303</v>
      </c>
      <c r="F187" s="7" t="s">
        <v>79</v>
      </c>
      <c r="G187" s="9">
        <v>45</v>
      </c>
      <c r="H187" s="8">
        <v>1</v>
      </c>
      <c r="I187" s="32">
        <v>1</v>
      </c>
      <c r="J187" s="33">
        <f>365/7*25</f>
        <v>1303.5714285714287</v>
      </c>
      <c r="K187" s="13">
        <f t="shared" si="5"/>
        <v>3.4520547945205475E-2</v>
      </c>
      <c r="L187" s="7" t="s">
        <v>1319</v>
      </c>
      <c r="M187" s="7"/>
    </row>
    <row r="188" spans="1:13" ht="22.5" x14ac:dyDescent="0.25">
      <c r="A188" s="6" t="s">
        <v>69</v>
      </c>
      <c r="B188" s="6">
        <v>5.0999999999999996</v>
      </c>
      <c r="C188" s="7" t="s">
        <v>67</v>
      </c>
      <c r="D188" s="8" t="s">
        <v>389</v>
      </c>
      <c r="E188" s="10" t="s">
        <v>171</v>
      </c>
      <c r="F188" s="10" t="s">
        <v>1210</v>
      </c>
      <c r="G188" s="42">
        <v>25</v>
      </c>
      <c r="H188" s="10">
        <v>1</v>
      </c>
      <c r="I188" s="11">
        <v>2</v>
      </c>
      <c r="J188" s="45">
        <f>365/7*5</f>
        <v>260.71428571428572</v>
      </c>
      <c r="K188" s="13">
        <f t="shared" si="5"/>
        <v>0.19178082191780821</v>
      </c>
      <c r="L188" s="8" t="s">
        <v>1306</v>
      </c>
      <c r="M188" s="7" t="s">
        <v>1307</v>
      </c>
    </row>
    <row r="189" spans="1:13" ht="56.25" x14ac:dyDescent="0.25">
      <c r="A189" s="6" t="s">
        <v>69</v>
      </c>
      <c r="B189" s="6">
        <v>5.2</v>
      </c>
      <c r="C189" s="7" t="s">
        <v>67</v>
      </c>
      <c r="D189" s="8" t="s">
        <v>389</v>
      </c>
      <c r="E189" s="10" t="s">
        <v>172</v>
      </c>
      <c r="F189" s="8" t="s">
        <v>50</v>
      </c>
      <c r="G189" s="30">
        <v>25</v>
      </c>
      <c r="H189" s="8">
        <v>1</v>
      </c>
      <c r="I189" s="32">
        <v>1</v>
      </c>
      <c r="J189" s="45">
        <f>365/7*8</f>
        <v>417.14285714285717</v>
      </c>
      <c r="K189" s="13">
        <f t="shared" si="5"/>
        <v>5.9931506849315065E-2</v>
      </c>
      <c r="L189" s="8" t="s">
        <v>384</v>
      </c>
      <c r="M189" s="7" t="s">
        <v>307</v>
      </c>
    </row>
    <row r="190" spans="1:13" ht="22.5" x14ac:dyDescent="0.25">
      <c r="A190" s="6" t="s">
        <v>69</v>
      </c>
      <c r="B190" s="6">
        <v>5.2</v>
      </c>
      <c r="C190" s="7" t="s">
        <v>67</v>
      </c>
      <c r="D190" s="8" t="s">
        <v>389</v>
      </c>
      <c r="E190" s="10" t="s">
        <v>174</v>
      </c>
      <c r="F190" s="8" t="s">
        <v>79</v>
      </c>
      <c r="G190" s="42">
        <v>22</v>
      </c>
      <c r="H190" s="10">
        <v>1</v>
      </c>
      <c r="I190" s="11">
        <v>2</v>
      </c>
      <c r="J190" s="45">
        <f>365/7*10</f>
        <v>521.42857142857144</v>
      </c>
      <c r="K190" s="13">
        <f t="shared" si="5"/>
        <v>8.438356164383562E-2</v>
      </c>
      <c r="L190" s="8" t="s">
        <v>1318</v>
      </c>
      <c r="M190" s="7" t="s">
        <v>1313</v>
      </c>
    </row>
    <row r="191" spans="1:13" ht="22.5" x14ac:dyDescent="0.25">
      <c r="A191" s="6" t="s">
        <v>69</v>
      </c>
      <c r="B191" s="6">
        <v>5.2</v>
      </c>
      <c r="C191" s="7" t="s">
        <v>67</v>
      </c>
      <c r="D191" s="8" t="s">
        <v>389</v>
      </c>
      <c r="E191" s="10" t="s">
        <v>309</v>
      </c>
      <c r="F191" s="8" t="s">
        <v>50</v>
      </c>
      <c r="G191" s="42">
        <v>25</v>
      </c>
      <c r="H191" s="10">
        <v>1</v>
      </c>
      <c r="I191" s="11">
        <v>2</v>
      </c>
      <c r="J191" s="45">
        <f t="shared" ref="J191:J193" si="7">365/7*10</f>
        <v>521.42857142857144</v>
      </c>
      <c r="K191" s="13">
        <f t="shared" si="5"/>
        <v>9.5890410958904104E-2</v>
      </c>
      <c r="L191" s="8" t="s">
        <v>1318</v>
      </c>
      <c r="M191" s="7" t="s">
        <v>1309</v>
      </c>
    </row>
    <row r="192" spans="1:13" ht="22.5" x14ac:dyDescent="0.25">
      <c r="A192" s="6" t="s">
        <v>69</v>
      </c>
      <c r="B192" s="6">
        <v>5.2</v>
      </c>
      <c r="C192" s="7" t="s">
        <v>67</v>
      </c>
      <c r="D192" s="8" t="s">
        <v>389</v>
      </c>
      <c r="E192" s="10" t="s">
        <v>175</v>
      </c>
      <c r="F192" s="8" t="s">
        <v>79</v>
      </c>
      <c r="G192" s="42">
        <v>40</v>
      </c>
      <c r="H192" s="10">
        <v>1</v>
      </c>
      <c r="I192" s="11">
        <v>2</v>
      </c>
      <c r="J192" s="45">
        <f t="shared" si="7"/>
        <v>521.42857142857144</v>
      </c>
      <c r="K192" s="13">
        <f t="shared" si="5"/>
        <v>0.15342465753424658</v>
      </c>
      <c r="L192" s="8" t="s">
        <v>1318</v>
      </c>
      <c r="M192" s="7" t="s">
        <v>1312</v>
      </c>
    </row>
    <row r="193" spans="1:14" ht="22.5" x14ac:dyDescent="0.25">
      <c r="A193" s="6" t="s">
        <v>69</v>
      </c>
      <c r="B193" s="6">
        <v>5.2</v>
      </c>
      <c r="C193" s="7" t="s">
        <v>67</v>
      </c>
      <c r="D193" s="8" t="s">
        <v>389</v>
      </c>
      <c r="E193" s="10" t="s">
        <v>176</v>
      </c>
      <c r="F193" s="8" t="s">
        <v>79</v>
      </c>
      <c r="G193" s="42">
        <v>11</v>
      </c>
      <c r="H193" s="10">
        <v>2</v>
      </c>
      <c r="I193" s="11">
        <v>2</v>
      </c>
      <c r="J193" s="45">
        <f t="shared" si="7"/>
        <v>521.42857142857144</v>
      </c>
      <c r="K193" s="13">
        <f t="shared" si="5"/>
        <v>4.219178082191781E-2</v>
      </c>
      <c r="L193" s="8" t="s">
        <v>1308</v>
      </c>
      <c r="M193" s="7" t="s">
        <v>1310</v>
      </c>
    </row>
    <row r="194" spans="1:14" ht="56.25" x14ac:dyDescent="0.25">
      <c r="A194" s="6" t="s">
        <v>69</v>
      </c>
      <c r="B194" s="6">
        <v>5.2</v>
      </c>
      <c r="C194" s="7" t="s">
        <v>67</v>
      </c>
      <c r="D194" s="8" t="s">
        <v>389</v>
      </c>
      <c r="E194" s="7" t="s">
        <v>173</v>
      </c>
      <c r="F194" s="8" t="s">
        <v>79</v>
      </c>
      <c r="G194" s="30">
        <v>37.214353163361658</v>
      </c>
      <c r="H194" s="8">
        <v>2</v>
      </c>
      <c r="I194" s="32">
        <v>2</v>
      </c>
      <c r="J194" s="12">
        <f>365/7*8</f>
        <v>417.14285714285717</v>
      </c>
      <c r="K194" s="13">
        <f t="shared" ref="K194:K220" si="8">G194*I194/J194</f>
        <v>0.17842498092022713</v>
      </c>
      <c r="L194" s="7" t="s">
        <v>399</v>
      </c>
      <c r="M194" s="8" t="s">
        <v>308</v>
      </c>
    </row>
    <row r="195" spans="1:14" ht="45" x14ac:dyDescent="0.25">
      <c r="A195" s="6" t="s">
        <v>69</v>
      </c>
      <c r="B195" s="6">
        <v>5.2</v>
      </c>
      <c r="C195" s="7" t="s">
        <v>67</v>
      </c>
      <c r="D195" s="8" t="s">
        <v>389</v>
      </c>
      <c r="E195" s="7" t="s">
        <v>167</v>
      </c>
      <c r="F195" s="10" t="s">
        <v>50</v>
      </c>
      <c r="G195" s="30">
        <v>7.4428706326723324</v>
      </c>
      <c r="H195" s="10">
        <v>1</v>
      </c>
      <c r="I195" s="32">
        <v>1</v>
      </c>
      <c r="J195" s="33">
        <f>365/7*8</f>
        <v>417.14285714285717</v>
      </c>
      <c r="K195" s="13">
        <f t="shared" si="8"/>
        <v>1.7842498092022714E-2</v>
      </c>
      <c r="L195" s="7" t="s">
        <v>400</v>
      </c>
      <c r="M195" s="8" t="s">
        <v>310</v>
      </c>
    </row>
    <row r="196" spans="1:14" ht="22.5" x14ac:dyDescent="0.25">
      <c r="A196" s="6" t="s">
        <v>69</v>
      </c>
      <c r="B196" s="6">
        <v>5.2</v>
      </c>
      <c r="C196" s="7" t="s">
        <v>67</v>
      </c>
      <c r="D196" s="8" t="s">
        <v>1124</v>
      </c>
      <c r="E196" s="7" t="s">
        <v>71</v>
      </c>
      <c r="F196" s="7"/>
      <c r="G196" s="13">
        <v>45</v>
      </c>
      <c r="H196" s="35">
        <v>1</v>
      </c>
      <c r="I196" s="36">
        <v>1</v>
      </c>
      <c r="J196" s="34">
        <f>365/7*10</f>
        <v>521.42857142857144</v>
      </c>
      <c r="K196" s="13">
        <f t="shared" si="8"/>
        <v>8.6301369863013691E-2</v>
      </c>
      <c r="L196" s="7"/>
      <c r="M196" s="8" t="s">
        <v>1125</v>
      </c>
    </row>
    <row r="197" spans="1:14" ht="22.5" x14ac:dyDescent="0.25">
      <c r="A197" s="6" t="s">
        <v>69</v>
      </c>
      <c r="B197" s="6">
        <v>5.2</v>
      </c>
      <c r="C197" s="7" t="s">
        <v>67</v>
      </c>
      <c r="D197" s="8" t="s">
        <v>1124</v>
      </c>
      <c r="E197" s="7" t="s">
        <v>72</v>
      </c>
      <c r="F197" s="7" t="s">
        <v>50</v>
      </c>
      <c r="G197" s="13">
        <v>5</v>
      </c>
      <c r="H197" s="35">
        <v>1</v>
      </c>
      <c r="I197" s="36">
        <v>1</v>
      </c>
      <c r="J197" s="34">
        <f>365/7*5</f>
        <v>260.71428571428572</v>
      </c>
      <c r="K197" s="13">
        <f t="shared" si="8"/>
        <v>1.9178082191780823E-2</v>
      </c>
      <c r="L197" s="7" t="s">
        <v>1136</v>
      </c>
      <c r="M197" s="38" t="s">
        <v>1126</v>
      </c>
    </row>
    <row r="198" spans="1:14" ht="22.5" x14ac:dyDescent="0.25">
      <c r="A198" s="6" t="s">
        <v>69</v>
      </c>
      <c r="B198" s="6">
        <v>5.0999999999999996</v>
      </c>
      <c r="C198" s="7" t="s">
        <v>67</v>
      </c>
      <c r="D198" s="8" t="s">
        <v>389</v>
      </c>
      <c r="E198" s="10" t="s">
        <v>171</v>
      </c>
      <c r="F198" s="10" t="s">
        <v>1210</v>
      </c>
      <c r="G198" s="42">
        <v>25</v>
      </c>
      <c r="H198" s="10">
        <v>1</v>
      </c>
      <c r="I198" s="11">
        <v>1</v>
      </c>
      <c r="J198" s="45">
        <f>365/7*5</f>
        <v>260.71428571428572</v>
      </c>
      <c r="K198" s="13">
        <f t="shared" si="8"/>
        <v>9.5890410958904104E-2</v>
      </c>
      <c r="L198" s="8" t="s">
        <v>1320</v>
      </c>
      <c r="M198" s="7" t="s">
        <v>1307</v>
      </c>
    </row>
    <row r="199" spans="1:14" x14ac:dyDescent="0.25">
      <c r="A199" s="6" t="s">
        <v>69</v>
      </c>
      <c r="B199" s="6">
        <v>5.2</v>
      </c>
      <c r="C199" s="7" t="s">
        <v>67</v>
      </c>
      <c r="D199" s="8" t="s">
        <v>1124</v>
      </c>
      <c r="E199" s="7" t="s">
        <v>78</v>
      </c>
      <c r="F199" s="6"/>
      <c r="G199" s="13">
        <v>200</v>
      </c>
      <c r="H199" s="35">
        <v>1</v>
      </c>
      <c r="I199" s="35">
        <v>1</v>
      </c>
      <c r="J199" s="34">
        <f>365/7*5</f>
        <v>260.71428571428572</v>
      </c>
      <c r="K199" s="13">
        <f t="shared" si="8"/>
        <v>0.76712328767123283</v>
      </c>
      <c r="L199" s="7"/>
      <c r="M199" s="7" t="s">
        <v>1122</v>
      </c>
    </row>
    <row r="200" spans="1:14" x14ac:dyDescent="0.25">
      <c r="A200" s="6" t="s">
        <v>69</v>
      </c>
      <c r="B200" s="6">
        <v>5.2</v>
      </c>
      <c r="C200" s="7" t="s">
        <v>67</v>
      </c>
      <c r="D200" s="8" t="s">
        <v>1124</v>
      </c>
      <c r="E200" s="58" t="s">
        <v>1127</v>
      </c>
      <c r="F200" s="58" t="s">
        <v>178</v>
      </c>
      <c r="G200" s="13">
        <v>929</v>
      </c>
      <c r="H200" s="62">
        <v>1</v>
      </c>
      <c r="I200" s="62">
        <v>1</v>
      </c>
      <c r="J200" s="13">
        <f t="shared" ref="J200" si="9">365/7*25</f>
        <v>1303.5714285714287</v>
      </c>
      <c r="K200" s="13">
        <f t="shared" si="8"/>
        <v>0.7126575342465753</v>
      </c>
      <c r="L200" s="7" t="s">
        <v>1128</v>
      </c>
      <c r="M200" s="58" t="s">
        <v>1129</v>
      </c>
    </row>
    <row r="201" spans="1:14" x14ac:dyDescent="0.25">
      <c r="A201" s="6" t="s">
        <v>69</v>
      </c>
      <c r="B201" s="6">
        <v>5.2</v>
      </c>
      <c r="C201" s="7" t="s">
        <v>67</v>
      </c>
      <c r="D201" s="8" t="s">
        <v>1124</v>
      </c>
      <c r="E201" s="58" t="s">
        <v>1130</v>
      </c>
      <c r="F201" s="58" t="s">
        <v>1131</v>
      </c>
      <c r="G201" s="13">
        <v>250</v>
      </c>
      <c r="H201" s="62">
        <v>1</v>
      </c>
      <c r="I201" s="62">
        <v>1</v>
      </c>
      <c r="J201" s="13">
        <f>365/7*15</f>
        <v>782.14285714285722</v>
      </c>
      <c r="K201" s="13">
        <f t="shared" si="8"/>
        <v>0.31963470319634701</v>
      </c>
      <c r="L201" s="7" t="s">
        <v>1132</v>
      </c>
      <c r="M201" s="58" t="s">
        <v>1321</v>
      </c>
    </row>
    <row r="202" spans="1:14" x14ac:dyDescent="0.25">
      <c r="A202" s="6" t="s">
        <v>69</v>
      </c>
      <c r="B202" s="6">
        <v>5.2</v>
      </c>
      <c r="C202" s="7" t="s">
        <v>67</v>
      </c>
      <c r="D202" s="8" t="s">
        <v>1124</v>
      </c>
      <c r="E202" s="58" t="s">
        <v>1133</v>
      </c>
      <c r="F202" s="58" t="s">
        <v>1131</v>
      </c>
      <c r="G202" s="13">
        <v>115</v>
      </c>
      <c r="H202" s="62">
        <v>1</v>
      </c>
      <c r="I202" s="62">
        <v>1</v>
      </c>
      <c r="J202" s="13">
        <f>365/7*10</f>
        <v>521.42857142857144</v>
      </c>
      <c r="K202" s="13">
        <f t="shared" si="8"/>
        <v>0.22054794520547943</v>
      </c>
      <c r="L202" s="7" t="s">
        <v>1134</v>
      </c>
      <c r="M202" s="58" t="s">
        <v>1135</v>
      </c>
    </row>
    <row r="203" spans="1:14" ht="81" customHeight="1" x14ac:dyDescent="0.25">
      <c r="A203" s="6" t="s">
        <v>69</v>
      </c>
      <c r="B203" s="6">
        <v>5.0999999999999996</v>
      </c>
      <c r="C203" s="6" t="s">
        <v>67</v>
      </c>
      <c r="D203" s="7" t="s">
        <v>70</v>
      </c>
      <c r="E203" s="7" t="s">
        <v>1359</v>
      </c>
      <c r="F203" s="7" t="s">
        <v>316</v>
      </c>
      <c r="G203" s="13">
        <v>643.73</v>
      </c>
      <c r="H203" s="35">
        <v>1</v>
      </c>
      <c r="I203" s="36">
        <v>1</v>
      </c>
      <c r="J203" s="9">
        <f>365/7*20</f>
        <v>1042.8571428571429</v>
      </c>
      <c r="K203" s="13">
        <f t="shared" si="8"/>
        <v>0.61727534246575344</v>
      </c>
      <c r="L203" s="7" t="s">
        <v>1366</v>
      </c>
      <c r="M203" s="39" t="s">
        <v>1363</v>
      </c>
      <c r="N203" s="39"/>
    </row>
    <row r="204" spans="1:14" s="39" customFormat="1" ht="22.5" x14ac:dyDescent="0.25">
      <c r="A204" s="39" t="s">
        <v>69</v>
      </c>
      <c r="B204" s="58">
        <v>5.0999999999999996</v>
      </c>
      <c r="C204" s="39" t="s">
        <v>931</v>
      </c>
      <c r="D204" s="39" t="s">
        <v>70</v>
      </c>
      <c r="E204" s="39" t="s">
        <v>1360</v>
      </c>
      <c r="F204" s="39" t="s">
        <v>1131</v>
      </c>
      <c r="G204" s="40">
        <v>75</v>
      </c>
      <c r="I204" s="39">
        <v>1</v>
      </c>
      <c r="J204" s="39">
        <f>365/7*10</f>
        <v>521.42857142857144</v>
      </c>
      <c r="K204" s="40">
        <f t="shared" si="8"/>
        <v>0.14383561643835616</v>
      </c>
      <c r="L204" s="39" t="s">
        <v>1361</v>
      </c>
      <c r="M204" s="39" t="s">
        <v>1362</v>
      </c>
    </row>
    <row r="205" spans="1:14" ht="71.099999999999994" customHeight="1" x14ac:dyDescent="0.25">
      <c r="A205" s="6" t="s">
        <v>69</v>
      </c>
      <c r="B205" s="6">
        <v>5.0999999999999996</v>
      </c>
      <c r="C205" s="6" t="s">
        <v>67</v>
      </c>
      <c r="D205" s="7" t="s">
        <v>77</v>
      </c>
      <c r="E205" s="7" t="s">
        <v>1359</v>
      </c>
      <c r="F205" s="7" t="s">
        <v>316</v>
      </c>
      <c r="G205" s="13">
        <v>1384.47</v>
      </c>
      <c r="H205" s="35"/>
      <c r="I205" s="36">
        <v>1</v>
      </c>
      <c r="J205" s="9">
        <f t="shared" ref="J205:J207" si="10">365/7*20</f>
        <v>1042.8571428571429</v>
      </c>
      <c r="K205" s="13">
        <f t="shared" si="8"/>
        <v>1.3275739726027398</v>
      </c>
      <c r="L205" s="7" t="s">
        <v>1366</v>
      </c>
      <c r="M205" s="39" t="s">
        <v>1364</v>
      </c>
      <c r="N205" s="58"/>
    </row>
    <row r="206" spans="1:14" ht="71.099999999999994" customHeight="1" x14ac:dyDescent="0.25">
      <c r="A206" s="6" t="s">
        <v>69</v>
      </c>
      <c r="B206" s="6">
        <v>5.0999999999999996</v>
      </c>
      <c r="C206" s="6" t="s">
        <v>67</v>
      </c>
      <c r="D206" s="7" t="s">
        <v>85</v>
      </c>
      <c r="E206" s="7" t="s">
        <v>1359</v>
      </c>
      <c r="F206" s="7" t="s">
        <v>316</v>
      </c>
      <c r="G206" s="13">
        <v>1129.53</v>
      </c>
      <c r="H206" s="35"/>
      <c r="I206" s="36">
        <v>1</v>
      </c>
      <c r="J206" s="9">
        <f>365/7*20</f>
        <v>1042.8571428571429</v>
      </c>
      <c r="K206" s="13">
        <f t="shared" si="8"/>
        <v>1.0831109589041095</v>
      </c>
      <c r="L206" s="7" t="s">
        <v>1366</v>
      </c>
      <c r="M206" s="39" t="s">
        <v>1365</v>
      </c>
      <c r="N206" s="58"/>
    </row>
    <row r="207" spans="1:14" s="39" customFormat="1" ht="84.95" customHeight="1" x14ac:dyDescent="0.25">
      <c r="A207" s="6" t="s">
        <v>69</v>
      </c>
      <c r="B207" s="6">
        <v>5.0999999999999996</v>
      </c>
      <c r="C207" s="6" t="s">
        <v>67</v>
      </c>
      <c r="D207" s="7" t="s">
        <v>1351</v>
      </c>
      <c r="E207" s="7" t="s">
        <v>315</v>
      </c>
      <c r="F207" s="7" t="s">
        <v>316</v>
      </c>
      <c r="G207" s="13">
        <v>432.49</v>
      </c>
      <c r="H207" s="35"/>
      <c r="I207" s="36">
        <v>1</v>
      </c>
      <c r="J207" s="9">
        <f t="shared" si="10"/>
        <v>1042.8571428571429</v>
      </c>
      <c r="K207" s="13">
        <f t="shared" si="8"/>
        <v>0.4147164383561644</v>
      </c>
      <c r="L207" s="7" t="s">
        <v>1352</v>
      </c>
      <c r="M207" s="8" t="s">
        <v>1350</v>
      </c>
    </row>
    <row r="208" spans="1:14" ht="84.95" customHeight="1" x14ac:dyDescent="0.25">
      <c r="A208" s="6" t="s">
        <v>69</v>
      </c>
      <c r="B208" s="39">
        <v>5.0999999999999996</v>
      </c>
      <c r="C208" s="39" t="s">
        <v>931</v>
      </c>
      <c r="D208" s="39" t="s">
        <v>1353</v>
      </c>
      <c r="E208" s="39" t="s">
        <v>315</v>
      </c>
      <c r="F208" s="39" t="s">
        <v>316</v>
      </c>
      <c r="G208" s="13">
        <v>555.57000000000005</v>
      </c>
      <c r="H208" s="39"/>
      <c r="I208" s="39">
        <v>1</v>
      </c>
      <c r="J208" s="39">
        <f>365/7*10</f>
        <v>521.42857142857144</v>
      </c>
      <c r="K208" s="13">
        <f t="shared" si="8"/>
        <v>1.0654767123287672</v>
      </c>
      <c r="L208" s="39" t="s">
        <v>1354</v>
      </c>
      <c r="M208" s="39" t="s">
        <v>1355</v>
      </c>
      <c r="N208" s="10"/>
    </row>
    <row r="209" spans="1:14" ht="87" customHeight="1" x14ac:dyDescent="0.25">
      <c r="A209" s="6" t="s">
        <v>69</v>
      </c>
      <c r="B209" s="39">
        <v>5.0999999999999996</v>
      </c>
      <c r="C209" s="39" t="s">
        <v>931</v>
      </c>
      <c r="D209" s="39" t="s">
        <v>1356</v>
      </c>
      <c r="E209" s="39" t="s">
        <v>315</v>
      </c>
      <c r="F209" s="39" t="s">
        <v>316</v>
      </c>
      <c r="G209" s="13">
        <v>458.51</v>
      </c>
      <c r="H209" s="39"/>
      <c r="I209" s="39">
        <v>1</v>
      </c>
      <c r="J209" s="39">
        <f>365/7*10</f>
        <v>521.42857142857144</v>
      </c>
      <c r="K209" s="13">
        <f t="shared" si="8"/>
        <v>0.87933424657534243</v>
      </c>
      <c r="L209" s="39" t="s">
        <v>1354</v>
      </c>
      <c r="M209" s="39" t="s">
        <v>1357</v>
      </c>
      <c r="N209" s="10"/>
    </row>
    <row r="210" spans="1:14" ht="83.1" customHeight="1" x14ac:dyDescent="0.25">
      <c r="A210" s="6" t="s">
        <v>69</v>
      </c>
      <c r="B210" s="39">
        <v>5.0999999999999996</v>
      </c>
      <c r="C210" s="39" t="s">
        <v>931</v>
      </c>
      <c r="D210" s="39" t="s">
        <v>1124</v>
      </c>
      <c r="E210" s="39" t="s">
        <v>315</v>
      </c>
      <c r="F210" s="39" t="s">
        <v>316</v>
      </c>
      <c r="G210" s="13">
        <v>334.15</v>
      </c>
      <c r="H210" s="39"/>
      <c r="I210" s="39">
        <v>1</v>
      </c>
      <c r="J210" s="39">
        <f>365/7*10</f>
        <v>521.42857142857144</v>
      </c>
      <c r="K210" s="13">
        <f t="shared" si="8"/>
        <v>0.64083561643835607</v>
      </c>
      <c r="L210" s="39" t="s">
        <v>1354</v>
      </c>
      <c r="M210" s="39" t="s">
        <v>1358</v>
      </c>
      <c r="N210" s="10"/>
    </row>
    <row r="211" spans="1:14" s="39" customFormat="1" ht="45" x14ac:dyDescent="0.25">
      <c r="A211" s="39">
        <v>5.0999999999999996</v>
      </c>
      <c r="B211" s="39" t="s">
        <v>931</v>
      </c>
      <c r="C211" s="39" t="s">
        <v>317</v>
      </c>
      <c r="D211" s="39" t="s">
        <v>1322</v>
      </c>
      <c r="F211" s="39" t="s">
        <v>83</v>
      </c>
      <c r="G211" s="40">
        <v>633.94000000000005</v>
      </c>
      <c r="H211" s="39">
        <v>1</v>
      </c>
      <c r="I211" s="39">
        <v>1</v>
      </c>
      <c r="J211" s="39">
        <f>365/7*10</f>
        <v>521.42857142857144</v>
      </c>
      <c r="K211" s="40">
        <f t="shared" si="8"/>
        <v>1.2157753424657536</v>
      </c>
      <c r="L211" s="39" t="s">
        <v>1339</v>
      </c>
      <c r="M211" s="39" t="s">
        <v>1340</v>
      </c>
    </row>
    <row r="212" spans="1:14" s="39" customFormat="1" ht="22.5" x14ac:dyDescent="0.25">
      <c r="A212" s="39">
        <v>5.0999999999999996</v>
      </c>
      <c r="B212" s="39" t="s">
        <v>931</v>
      </c>
      <c r="C212" s="39" t="s">
        <v>317</v>
      </c>
      <c r="D212" s="39" t="s">
        <v>1323</v>
      </c>
      <c r="F212" s="39" t="s">
        <v>83</v>
      </c>
      <c r="G212" s="40">
        <v>20.49</v>
      </c>
      <c r="I212" s="39">
        <v>1</v>
      </c>
      <c r="J212" s="39">
        <f>365/7*10</f>
        <v>521.42857142857144</v>
      </c>
      <c r="K212" s="40">
        <f t="shared" si="8"/>
        <v>3.9295890410958899E-2</v>
      </c>
      <c r="M212" s="39" t="s">
        <v>1341</v>
      </c>
    </row>
    <row r="213" spans="1:14" s="39" customFormat="1" ht="11.25" x14ac:dyDescent="0.25">
      <c r="A213" s="39">
        <v>4.3</v>
      </c>
      <c r="B213" s="39" t="s">
        <v>931</v>
      </c>
      <c r="C213" s="39" t="s">
        <v>317</v>
      </c>
      <c r="D213" s="39" t="s">
        <v>1324</v>
      </c>
      <c r="E213" s="39" t="s">
        <v>1325</v>
      </c>
      <c r="F213" s="39" t="s">
        <v>83</v>
      </c>
      <c r="G213" s="40">
        <v>36</v>
      </c>
      <c r="I213" s="39">
        <v>1</v>
      </c>
      <c r="J213" s="39">
        <f>365/7*2</f>
        <v>104.28571428571429</v>
      </c>
      <c r="K213" s="40">
        <f t="shared" si="8"/>
        <v>0.34520547945205476</v>
      </c>
      <c r="M213" s="39" t="s">
        <v>1326</v>
      </c>
    </row>
    <row r="214" spans="1:14" s="39" customFormat="1" ht="33.75" x14ac:dyDescent="0.25">
      <c r="A214" s="39">
        <v>5.0999999999999996</v>
      </c>
      <c r="B214" s="39" t="s">
        <v>931</v>
      </c>
      <c r="C214" s="39" t="s">
        <v>317</v>
      </c>
      <c r="D214" s="39" t="s">
        <v>1327</v>
      </c>
      <c r="F214" s="39" t="s">
        <v>83</v>
      </c>
      <c r="G214" s="40">
        <v>202.59</v>
      </c>
      <c r="I214" s="39">
        <v>2</v>
      </c>
      <c r="J214" s="39">
        <f>365/7*10</f>
        <v>521.42857142857144</v>
      </c>
      <c r="K214" s="40">
        <f t="shared" si="8"/>
        <v>0.77705753424657531</v>
      </c>
      <c r="L214" s="39" t="s">
        <v>1342</v>
      </c>
      <c r="M214" s="39" t="s">
        <v>1343</v>
      </c>
    </row>
    <row r="215" spans="1:14" s="39" customFormat="1" ht="22.5" x14ac:dyDescent="0.25">
      <c r="A215" s="39">
        <v>5.0999999999999996</v>
      </c>
      <c r="B215" s="39" t="s">
        <v>931</v>
      </c>
      <c r="C215" s="39" t="s">
        <v>317</v>
      </c>
      <c r="D215" s="39" t="s">
        <v>1328</v>
      </c>
      <c r="F215" s="39" t="s">
        <v>83</v>
      </c>
      <c r="G215" s="40">
        <v>49</v>
      </c>
      <c r="I215" s="39">
        <v>1</v>
      </c>
      <c r="J215" s="39">
        <f>365/7*5</f>
        <v>260.71428571428572</v>
      </c>
      <c r="K215" s="40">
        <f t="shared" si="8"/>
        <v>0.18794520547945204</v>
      </c>
      <c r="L215" s="39" t="s">
        <v>1329</v>
      </c>
      <c r="M215" s="39" t="s">
        <v>1344</v>
      </c>
    </row>
    <row r="216" spans="1:14" s="39" customFormat="1" ht="11.25" x14ac:dyDescent="0.25">
      <c r="A216" s="39">
        <v>5.0999999999999996</v>
      </c>
      <c r="B216" s="39" t="s">
        <v>931</v>
      </c>
      <c r="C216" s="39" t="s">
        <v>317</v>
      </c>
      <c r="D216" s="39" t="s">
        <v>1345</v>
      </c>
      <c r="F216" s="39" t="s">
        <v>83</v>
      </c>
      <c r="G216" s="40">
        <v>22.99</v>
      </c>
      <c r="I216" s="39">
        <v>1</v>
      </c>
      <c r="J216" s="39">
        <f>365/7*10</f>
        <v>521.42857142857144</v>
      </c>
      <c r="K216" s="40">
        <f t="shared" si="8"/>
        <v>4.4090410958904105E-2</v>
      </c>
      <c r="L216" s="39" t="s">
        <v>1345</v>
      </c>
      <c r="M216" s="39" t="s">
        <v>1346</v>
      </c>
    </row>
    <row r="217" spans="1:14" s="39" customFormat="1" ht="22.5" x14ac:dyDescent="0.25">
      <c r="A217" s="39">
        <v>5.5</v>
      </c>
      <c r="B217" s="39" t="s">
        <v>931</v>
      </c>
      <c r="C217" s="39" t="s">
        <v>317</v>
      </c>
      <c r="D217" s="39" t="s">
        <v>1330</v>
      </c>
      <c r="E217" s="39" t="s">
        <v>1331</v>
      </c>
      <c r="F217" s="39" t="s">
        <v>83</v>
      </c>
      <c r="G217" s="40">
        <v>129</v>
      </c>
      <c r="I217" s="39">
        <v>1</v>
      </c>
      <c r="J217" s="39">
        <f>365/7*10</f>
        <v>521.42857142857144</v>
      </c>
      <c r="K217" s="40">
        <f t="shared" si="8"/>
        <v>0.2473972602739726</v>
      </c>
      <c r="L217" s="39" t="s">
        <v>1332</v>
      </c>
      <c r="M217" s="39" t="s">
        <v>1333</v>
      </c>
    </row>
    <row r="218" spans="1:14" s="39" customFormat="1" ht="22.5" x14ac:dyDescent="0.25">
      <c r="A218" s="39">
        <v>5.0999999999999996</v>
      </c>
      <c r="B218" s="39" t="s">
        <v>931</v>
      </c>
      <c r="C218" s="39" t="s">
        <v>317</v>
      </c>
      <c r="D218" s="39" t="s">
        <v>1334</v>
      </c>
      <c r="F218" s="39" t="s">
        <v>83</v>
      </c>
      <c r="G218" s="40">
        <v>79.989999999999995</v>
      </c>
      <c r="I218" s="39">
        <v>1</v>
      </c>
      <c r="J218" s="39">
        <f>365/7*10</f>
        <v>521.42857142857144</v>
      </c>
      <c r="K218" s="40">
        <f t="shared" si="8"/>
        <v>0.15340547945205479</v>
      </c>
      <c r="L218" s="39" t="s">
        <v>1335</v>
      </c>
      <c r="M218" s="39" t="s">
        <v>1347</v>
      </c>
    </row>
    <row r="219" spans="1:14" s="39" customFormat="1" ht="11.25" x14ac:dyDescent="0.25">
      <c r="A219" s="39">
        <v>4.5</v>
      </c>
      <c r="B219" s="39" t="s">
        <v>931</v>
      </c>
      <c r="C219" s="39" t="s">
        <v>317</v>
      </c>
      <c r="D219" s="39" t="s">
        <v>1336</v>
      </c>
      <c r="F219" s="39" t="s">
        <v>83</v>
      </c>
      <c r="G219" s="40">
        <v>21.99</v>
      </c>
      <c r="I219" s="39">
        <v>2</v>
      </c>
      <c r="J219" s="39">
        <f>365/7*10</f>
        <v>521.42857142857144</v>
      </c>
      <c r="K219" s="40">
        <f t="shared" si="8"/>
        <v>8.434520547945204E-2</v>
      </c>
      <c r="L219" s="39" t="s">
        <v>1337</v>
      </c>
      <c r="M219" s="39" t="s">
        <v>1348</v>
      </c>
    </row>
    <row r="220" spans="1:14" s="39" customFormat="1" ht="22.5" x14ac:dyDescent="0.25">
      <c r="A220" s="39">
        <v>9.3000000000000007</v>
      </c>
      <c r="B220" s="39" t="s">
        <v>931</v>
      </c>
      <c r="C220" s="39" t="s">
        <v>317</v>
      </c>
      <c r="D220" s="39" t="s">
        <v>1338</v>
      </c>
      <c r="G220" s="40">
        <v>200</v>
      </c>
      <c r="I220" s="39">
        <v>1</v>
      </c>
      <c r="J220" s="39">
        <f>365/7</f>
        <v>52.142857142857146</v>
      </c>
      <c r="K220" s="40">
        <f t="shared" si="8"/>
        <v>3.8356164383561642</v>
      </c>
      <c r="L220" s="39" t="s">
        <v>1349</v>
      </c>
    </row>
    <row r="221" spans="1:14" x14ac:dyDescent="0.25">
      <c r="A221" s="8"/>
      <c r="B221" s="29"/>
      <c r="C221" s="7"/>
      <c r="D221" s="8"/>
      <c r="E221" s="8"/>
      <c r="F221" s="9"/>
      <c r="G221" s="9"/>
      <c r="H221" s="8"/>
      <c r="I221" s="12"/>
      <c r="J221" s="33"/>
      <c r="K221" s="13"/>
      <c r="L221" s="7"/>
      <c r="M221" s="17"/>
    </row>
    <row r="222" spans="1:14" x14ac:dyDescent="0.25">
      <c r="K222" s="63"/>
    </row>
    <row r="223" spans="1:14" x14ac:dyDescent="0.25">
      <c r="E223" s="49" t="s">
        <v>864</v>
      </c>
      <c r="F223" s="49"/>
      <c r="G223" s="64">
        <f>SUM(K5:K220)</f>
        <v>70.770380205323022</v>
      </c>
    </row>
  </sheetData>
  <phoneticPr fontId="23" type="noConversion"/>
  <printOptions gridLines="1"/>
  <pageMargins left="0.7" right="0.7" top="0.75" bottom="0.75" header="0.3" footer="0.3"/>
  <pageSetup paperSize="9" scale="1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7D457-D2BF-4FDC-A41E-AE657E068F40}">
  <dimension ref="A1:M18"/>
  <sheetViews>
    <sheetView view="pageBreakPreview" zoomScale="115" zoomScaleNormal="90" zoomScaleSheetLayoutView="115" workbookViewId="0"/>
  </sheetViews>
  <sheetFormatPr defaultColWidth="8.85546875" defaultRowHeight="15" x14ac:dyDescent="0.25"/>
  <cols>
    <col min="1" max="1" width="5.85546875" customWidth="1"/>
    <col min="2" max="3" width="6.42578125" customWidth="1"/>
    <col min="5" max="5" width="9.140625" customWidth="1"/>
    <col min="6" max="6" width="14.85546875" customWidth="1"/>
    <col min="7" max="7" width="6" customWidth="1"/>
    <col min="8" max="8" width="6.42578125" customWidth="1"/>
    <col min="9" max="9" width="6.85546875" customWidth="1"/>
    <col min="10" max="10" width="7.42578125" customWidth="1"/>
    <col min="11" max="11" width="7.140625" customWidth="1"/>
    <col min="12" max="12" width="22.42578125" customWidth="1"/>
    <col min="13" max="13" width="26.140625" customWidth="1"/>
    <col min="14" max="14" width="26" customWidth="1"/>
  </cols>
  <sheetData>
    <row r="1" spans="1:13" ht="12.75" customHeight="1" x14ac:dyDescent="0.25">
      <c r="A1" s="2" t="s">
        <v>1368</v>
      </c>
      <c r="B1" s="17"/>
      <c r="C1" s="18"/>
    </row>
    <row r="2" spans="1:13" ht="12.75" customHeight="1" x14ac:dyDescent="0.25">
      <c r="A2" s="20" t="s">
        <v>35</v>
      </c>
      <c r="B2" s="20"/>
      <c r="C2" s="22"/>
    </row>
    <row r="3" spans="1:13" ht="12.75" customHeight="1" x14ac:dyDescent="0.25">
      <c r="A3" s="20" t="s">
        <v>844</v>
      </c>
      <c r="B3" s="20"/>
      <c r="C3" s="22"/>
    </row>
    <row r="4" spans="1:13" ht="45" x14ac:dyDescent="0.25">
      <c r="A4" s="25" t="s">
        <v>0</v>
      </c>
      <c r="B4" s="25" t="s">
        <v>1</v>
      </c>
      <c r="C4" s="25" t="s">
        <v>2</v>
      </c>
      <c r="D4" s="26" t="s">
        <v>3</v>
      </c>
      <c r="E4" s="26" t="s">
        <v>4</v>
      </c>
      <c r="F4" s="26" t="s">
        <v>6</v>
      </c>
      <c r="G4" s="27" t="s">
        <v>7</v>
      </c>
      <c r="H4" s="27" t="s">
        <v>8</v>
      </c>
      <c r="I4" s="26" t="s">
        <v>9</v>
      </c>
      <c r="J4" s="26" t="s">
        <v>10</v>
      </c>
      <c r="K4" s="27" t="s">
        <v>11</v>
      </c>
      <c r="L4" s="27" t="s">
        <v>12</v>
      </c>
      <c r="M4" s="26" t="s">
        <v>13</v>
      </c>
    </row>
    <row r="5" spans="1:13" ht="33.75" x14ac:dyDescent="0.25">
      <c r="A5" s="18" t="s">
        <v>36</v>
      </c>
      <c r="B5" s="7">
        <v>8.1</v>
      </c>
      <c r="C5" s="6" t="s">
        <v>67</v>
      </c>
      <c r="D5" s="10" t="s">
        <v>37</v>
      </c>
      <c r="E5" s="10" t="s">
        <v>38</v>
      </c>
      <c r="F5" s="10"/>
      <c r="G5" s="42">
        <v>10</v>
      </c>
      <c r="H5" s="43">
        <v>1</v>
      </c>
      <c r="I5" s="11">
        <v>1</v>
      </c>
      <c r="J5" s="45">
        <v>4.3499999999999996</v>
      </c>
      <c r="K5" s="42">
        <f t="shared" ref="K5:K13" si="0">G5*I5/J5</f>
        <v>2.298850574712644</v>
      </c>
      <c r="L5" s="24" t="s">
        <v>572</v>
      </c>
      <c r="M5" s="10"/>
    </row>
    <row r="6" spans="1:13" ht="22.5" x14ac:dyDescent="0.25">
      <c r="A6" s="17" t="s">
        <v>39</v>
      </c>
      <c r="B6" s="6">
        <v>8.1999999999999993</v>
      </c>
      <c r="C6" s="6" t="s">
        <v>67</v>
      </c>
      <c r="D6" s="17" t="s">
        <v>40</v>
      </c>
      <c r="E6" s="10" t="s">
        <v>571</v>
      </c>
      <c r="F6" s="10" t="s">
        <v>74</v>
      </c>
      <c r="G6" s="42">
        <v>30</v>
      </c>
      <c r="H6" s="43">
        <v>1</v>
      </c>
      <c r="I6" s="43">
        <v>1</v>
      </c>
      <c r="J6" s="45">
        <f>365/7*10</f>
        <v>521.42857142857144</v>
      </c>
      <c r="K6" s="13">
        <f t="shared" si="0"/>
        <v>5.7534246575342465E-2</v>
      </c>
      <c r="L6" s="28" t="s">
        <v>1190</v>
      </c>
      <c r="M6" s="37" t="s">
        <v>1191</v>
      </c>
    </row>
    <row r="7" spans="1:13" ht="33.75" x14ac:dyDescent="0.25">
      <c r="A7" s="17" t="s">
        <v>39</v>
      </c>
      <c r="B7" s="6">
        <v>8.1999999999999993</v>
      </c>
      <c r="C7" s="6" t="s">
        <v>67</v>
      </c>
      <c r="D7" s="17" t="s">
        <v>40</v>
      </c>
      <c r="E7" s="18" t="s">
        <v>41</v>
      </c>
      <c r="F7" s="24" t="s">
        <v>42</v>
      </c>
      <c r="G7" s="42">
        <v>0</v>
      </c>
      <c r="H7" s="11">
        <v>1</v>
      </c>
      <c r="I7" s="41">
        <v>2</v>
      </c>
      <c r="J7" s="33">
        <f>365/84</f>
        <v>4.3452380952380949</v>
      </c>
      <c r="K7" s="30">
        <f t="shared" si="0"/>
        <v>0</v>
      </c>
      <c r="L7" s="8" t="s">
        <v>1189</v>
      </c>
      <c r="M7" s="10" t="s">
        <v>1188</v>
      </c>
    </row>
    <row r="8" spans="1:13" ht="33.75" x14ac:dyDescent="0.25">
      <c r="A8" s="17" t="s">
        <v>39</v>
      </c>
      <c r="B8" s="28">
        <v>8.1999999999999993</v>
      </c>
      <c r="C8" s="6" t="s">
        <v>67</v>
      </c>
      <c r="D8" s="18" t="s">
        <v>40</v>
      </c>
      <c r="E8" s="18" t="s">
        <v>43</v>
      </c>
      <c r="F8" s="24" t="s">
        <v>42</v>
      </c>
      <c r="G8" s="42">
        <v>29.99</v>
      </c>
      <c r="H8" s="11">
        <v>1</v>
      </c>
      <c r="I8" s="41">
        <v>2</v>
      </c>
      <c r="J8" s="33">
        <v>4.3452380952380949</v>
      </c>
      <c r="K8" s="13">
        <f t="shared" si="0"/>
        <v>13.803616438356165</v>
      </c>
      <c r="L8" s="110"/>
      <c r="M8" s="10" t="s">
        <v>44</v>
      </c>
    </row>
    <row r="9" spans="1:13" ht="22.5" x14ac:dyDescent="0.25">
      <c r="A9" s="108" t="s">
        <v>39</v>
      </c>
      <c r="B9" s="29">
        <v>12.7</v>
      </c>
      <c r="C9" s="18" t="s">
        <v>931</v>
      </c>
      <c r="D9" s="18" t="s">
        <v>1119</v>
      </c>
      <c r="E9" s="18" t="s">
        <v>1119</v>
      </c>
      <c r="F9" s="17"/>
      <c r="G9" s="19">
        <v>4150</v>
      </c>
      <c r="I9" s="17">
        <v>2</v>
      </c>
      <c r="J9" s="45">
        <f>365/7*25</f>
        <v>1303.5714285714287</v>
      </c>
      <c r="K9" s="13">
        <f t="shared" si="0"/>
        <v>6.367123287671232</v>
      </c>
      <c r="L9" s="13"/>
      <c r="M9" s="17" t="s">
        <v>1120</v>
      </c>
    </row>
    <row r="10" spans="1:13" s="39" customFormat="1" ht="45" x14ac:dyDescent="0.25">
      <c r="A10" s="6" t="s">
        <v>1192</v>
      </c>
      <c r="B10" s="58" t="s">
        <v>1193</v>
      </c>
      <c r="C10" s="18" t="s">
        <v>931</v>
      </c>
      <c r="D10" s="39" t="s">
        <v>1194</v>
      </c>
      <c r="E10" s="39" t="s">
        <v>1195</v>
      </c>
      <c r="G10" s="40">
        <v>25</v>
      </c>
      <c r="I10" s="39">
        <v>1</v>
      </c>
      <c r="J10" s="40">
        <f>365/84*2</f>
        <v>8.6904761904761898</v>
      </c>
      <c r="K10" s="40">
        <f t="shared" si="0"/>
        <v>2.8767123287671237</v>
      </c>
      <c r="M10" s="39" t="s">
        <v>1196</v>
      </c>
    </row>
    <row r="11" spans="1:13" s="39" customFormat="1" ht="56.25" x14ac:dyDescent="0.25">
      <c r="A11" s="6" t="s">
        <v>1192</v>
      </c>
      <c r="B11" s="58" t="s">
        <v>1193</v>
      </c>
      <c r="C11" s="18" t="s">
        <v>931</v>
      </c>
      <c r="D11" s="39" t="s">
        <v>1194</v>
      </c>
      <c r="E11" s="39" t="s">
        <v>1195</v>
      </c>
      <c r="G11" s="40">
        <v>25</v>
      </c>
      <c r="I11" s="39">
        <v>16</v>
      </c>
      <c r="J11" s="111">
        <f>365/7</f>
        <v>52.142857142857146</v>
      </c>
      <c r="K11" s="40">
        <f>G11*I11/J11</f>
        <v>7.6712328767123283</v>
      </c>
      <c r="L11" s="39" t="s">
        <v>1197</v>
      </c>
      <c r="M11" s="39" t="s">
        <v>1198</v>
      </c>
    </row>
    <row r="12" spans="1:13" s="39" customFormat="1" ht="67.5" x14ac:dyDescent="0.25">
      <c r="A12" s="6" t="s">
        <v>1192</v>
      </c>
      <c r="B12" s="58" t="s">
        <v>1193</v>
      </c>
      <c r="C12" s="18" t="s">
        <v>931</v>
      </c>
      <c r="D12" s="39" t="s">
        <v>1194</v>
      </c>
      <c r="E12" s="39" t="s">
        <v>1199</v>
      </c>
      <c r="G12" s="40">
        <v>408</v>
      </c>
      <c r="I12" s="39">
        <v>2</v>
      </c>
      <c r="J12" s="111">
        <f>365/7</f>
        <v>52.142857142857146</v>
      </c>
      <c r="K12" s="40">
        <f t="shared" si="0"/>
        <v>15.64931506849315</v>
      </c>
      <c r="L12" s="39" t="s">
        <v>1200</v>
      </c>
      <c r="M12" s="39" t="s">
        <v>1201</v>
      </c>
    </row>
    <row r="13" spans="1:13" s="39" customFormat="1" ht="22.5" x14ac:dyDescent="0.25">
      <c r="A13" s="6" t="s">
        <v>1192</v>
      </c>
      <c r="B13" s="58" t="s">
        <v>1193</v>
      </c>
      <c r="C13" s="18" t="s">
        <v>931</v>
      </c>
      <c r="D13" s="39" t="s">
        <v>1194</v>
      </c>
      <c r="E13" s="39" t="s">
        <v>1202</v>
      </c>
      <c r="G13" s="40">
        <v>12</v>
      </c>
      <c r="I13" s="39">
        <v>1</v>
      </c>
      <c r="J13" s="40">
        <f>365/84</f>
        <v>4.3452380952380949</v>
      </c>
      <c r="K13" s="40">
        <f t="shared" si="0"/>
        <v>2.7616438356164386</v>
      </c>
      <c r="L13" s="39" t="s">
        <v>1203</v>
      </c>
      <c r="M13" s="39" t="s">
        <v>1204</v>
      </c>
    </row>
    <row r="14" spans="1:13" ht="21.95" customHeight="1" x14ac:dyDescent="0.25">
      <c r="A14" s="108"/>
      <c r="B14" s="28"/>
      <c r="C14" s="6"/>
      <c r="D14" s="28"/>
      <c r="E14" s="10"/>
      <c r="F14" s="106"/>
      <c r="G14" s="42"/>
      <c r="H14" s="11"/>
      <c r="I14" s="45"/>
      <c r="J14" s="45"/>
      <c r="K14" s="13"/>
      <c r="L14" s="10"/>
      <c r="M14" s="8"/>
    </row>
    <row r="15" spans="1:13" x14ac:dyDescent="0.25">
      <c r="F15" s="49" t="s">
        <v>867</v>
      </c>
      <c r="G15" s="64">
        <f>K5</f>
        <v>2.298850574712644</v>
      </c>
    </row>
    <row r="16" spans="1:13" x14ac:dyDescent="0.25">
      <c r="F16" s="49" t="s">
        <v>868</v>
      </c>
      <c r="G16" s="64">
        <f>SUM(K6:K8)</f>
        <v>13.861150684931507</v>
      </c>
    </row>
    <row r="17" spans="6:7" ht="23.25" x14ac:dyDescent="0.25">
      <c r="F17" s="103" t="s">
        <v>870</v>
      </c>
      <c r="G17" s="64">
        <f>SUM(K9:K13)</f>
        <v>35.326027397260276</v>
      </c>
    </row>
    <row r="18" spans="6:7" x14ac:dyDescent="0.25">
      <c r="F18" s="49"/>
    </row>
  </sheetData>
  <printOptions gridLines="1"/>
  <pageMargins left="0.7" right="0.7" top="0.75" bottom="0.75" header="0.3" footer="0.3"/>
  <pageSetup paperSize="9" scale="8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5051A-8CBC-46C9-932F-EAF547F952F4}">
  <dimension ref="A1:N68"/>
  <sheetViews>
    <sheetView view="pageBreakPreview" zoomScale="115" zoomScaleNormal="115" zoomScaleSheetLayoutView="115" workbookViewId="0"/>
  </sheetViews>
  <sheetFormatPr defaultColWidth="8.85546875" defaultRowHeight="15" x14ac:dyDescent="0.25"/>
  <cols>
    <col min="1" max="1" width="6.28515625" customWidth="1"/>
    <col min="2" max="2" width="6.7109375" customWidth="1"/>
    <col min="3" max="3" width="6.140625" customWidth="1"/>
    <col min="4" max="4" width="11.42578125" customWidth="1"/>
    <col min="5" max="5" width="12.42578125" customWidth="1"/>
    <col min="6" max="6" width="9.85546875" customWidth="1"/>
    <col min="7" max="7" width="6.42578125" customWidth="1"/>
    <col min="8" max="8" width="5.85546875" customWidth="1"/>
    <col min="9" max="9" width="7.7109375" customWidth="1"/>
    <col min="10" max="10" width="8.28515625" customWidth="1"/>
    <col min="11" max="11" width="7.28515625" customWidth="1"/>
    <col min="12" max="12" width="30" customWidth="1"/>
    <col min="13" max="13" width="32.42578125" customWidth="1"/>
    <col min="14" max="14" width="17" customWidth="1"/>
  </cols>
  <sheetData>
    <row r="1" spans="1:14" ht="15.75" x14ac:dyDescent="0.25">
      <c r="A1" s="2" t="s">
        <v>1368</v>
      </c>
      <c r="B1" s="16"/>
      <c r="C1" s="17"/>
      <c r="D1" s="17"/>
      <c r="E1" s="17"/>
      <c r="F1" s="17"/>
      <c r="G1" s="17"/>
      <c r="H1" s="17"/>
      <c r="I1" s="17"/>
      <c r="J1" s="17"/>
      <c r="K1" s="17"/>
      <c r="L1" s="18"/>
      <c r="M1" s="17"/>
    </row>
    <row r="2" spans="1:14" x14ac:dyDescent="0.25">
      <c r="A2" s="15" t="s">
        <v>401</v>
      </c>
      <c r="B2" s="16"/>
      <c r="C2" s="15"/>
      <c r="D2" s="39"/>
      <c r="E2" s="39"/>
      <c r="F2" s="39"/>
      <c r="G2" s="39"/>
      <c r="H2" s="112"/>
      <c r="I2" s="39"/>
      <c r="J2" s="39"/>
      <c r="K2" s="39"/>
      <c r="L2" s="39"/>
      <c r="M2" s="39"/>
    </row>
    <row r="3" spans="1:14" x14ac:dyDescent="0.25">
      <c r="A3" s="20" t="s">
        <v>846</v>
      </c>
      <c r="B3" s="21"/>
      <c r="C3" s="10"/>
      <c r="D3" s="10"/>
      <c r="E3" s="10"/>
      <c r="F3" s="10"/>
      <c r="G3" s="10"/>
      <c r="H3" s="10"/>
      <c r="I3" s="10"/>
      <c r="J3" s="10"/>
      <c r="K3" s="10"/>
      <c r="L3" s="10"/>
      <c r="M3" s="10"/>
    </row>
    <row r="4" spans="1:14" ht="28.5" customHeight="1" x14ac:dyDescent="0.25">
      <c r="A4" s="25" t="s">
        <v>0</v>
      </c>
      <c r="B4" s="25" t="s">
        <v>1</v>
      </c>
      <c r="C4" s="25" t="s">
        <v>2</v>
      </c>
      <c r="D4" s="26" t="s">
        <v>3</v>
      </c>
      <c r="E4" s="26" t="s">
        <v>4</v>
      </c>
      <c r="F4" s="26" t="s">
        <v>6</v>
      </c>
      <c r="G4" s="27" t="s">
        <v>7</v>
      </c>
      <c r="H4" s="27" t="s">
        <v>8</v>
      </c>
      <c r="I4" s="26" t="s">
        <v>9</v>
      </c>
      <c r="J4" s="26" t="s">
        <v>10</v>
      </c>
      <c r="K4" s="27" t="s">
        <v>11</v>
      </c>
      <c r="L4" s="27" t="s">
        <v>12</v>
      </c>
      <c r="M4" s="22" t="s">
        <v>13</v>
      </c>
    </row>
    <row r="5" spans="1:14" ht="33.75" x14ac:dyDescent="0.25">
      <c r="A5" s="17" t="s">
        <v>16</v>
      </c>
      <c r="B5" s="6">
        <v>12.1</v>
      </c>
      <c r="C5" s="17" t="s">
        <v>67</v>
      </c>
      <c r="D5" s="7" t="s">
        <v>514</v>
      </c>
      <c r="E5" s="7" t="s">
        <v>411</v>
      </c>
      <c r="F5" s="17" t="s">
        <v>28</v>
      </c>
      <c r="G5" s="19">
        <v>1.0990740740740741</v>
      </c>
      <c r="H5" s="113">
        <v>1</v>
      </c>
      <c r="I5" s="113">
        <v>2</v>
      </c>
      <c r="J5" s="114">
        <f>365/84</f>
        <v>4.3452380952380949</v>
      </c>
      <c r="K5" s="24">
        <f t="shared" ref="K5:K36" si="0">G5*I5/J5</f>
        <v>0.50587519025875194</v>
      </c>
      <c r="L5" s="18" t="s">
        <v>436</v>
      </c>
      <c r="M5" s="18" t="s">
        <v>412</v>
      </c>
    </row>
    <row r="6" spans="1:14" ht="22.5" x14ac:dyDescent="0.25">
      <c r="A6" s="17" t="s">
        <v>16</v>
      </c>
      <c r="B6" s="6">
        <v>12.1</v>
      </c>
      <c r="C6" s="17" t="s">
        <v>67</v>
      </c>
      <c r="D6" s="7" t="s">
        <v>514</v>
      </c>
      <c r="E6" s="7" t="s">
        <v>427</v>
      </c>
      <c r="F6" s="17" t="s">
        <v>27</v>
      </c>
      <c r="G6" s="19">
        <v>6.594444444444445</v>
      </c>
      <c r="H6" s="17">
        <v>1</v>
      </c>
      <c r="I6" s="17">
        <v>1</v>
      </c>
      <c r="J6" s="114">
        <f>365/7</f>
        <v>52.142857142857146</v>
      </c>
      <c r="K6" s="19">
        <f t="shared" si="0"/>
        <v>0.12646879756468798</v>
      </c>
      <c r="L6" s="18" t="s">
        <v>477</v>
      </c>
      <c r="M6" s="18" t="s">
        <v>413</v>
      </c>
    </row>
    <row r="7" spans="1:14" ht="33.75" x14ac:dyDescent="0.25">
      <c r="A7" s="17" t="s">
        <v>16</v>
      </c>
      <c r="B7" s="6">
        <v>12.1</v>
      </c>
      <c r="C7" s="17" t="s">
        <v>67</v>
      </c>
      <c r="D7" s="7" t="s">
        <v>514</v>
      </c>
      <c r="E7" s="7" t="s">
        <v>403</v>
      </c>
      <c r="F7" s="17" t="s">
        <v>28</v>
      </c>
      <c r="G7" s="19">
        <v>3.1323611111111114</v>
      </c>
      <c r="H7" s="113">
        <v>4</v>
      </c>
      <c r="I7" s="113">
        <v>1</v>
      </c>
      <c r="J7" s="114">
        <v>1</v>
      </c>
      <c r="K7" s="30">
        <f t="shared" si="0"/>
        <v>3.1323611111111114</v>
      </c>
      <c r="L7" s="18" t="s">
        <v>515</v>
      </c>
      <c r="M7" s="18" t="s">
        <v>404</v>
      </c>
    </row>
    <row r="8" spans="1:14" ht="22.5" x14ac:dyDescent="0.25">
      <c r="A8" s="17" t="s">
        <v>16</v>
      </c>
      <c r="B8" s="6">
        <v>12.1</v>
      </c>
      <c r="C8" s="17" t="s">
        <v>67</v>
      </c>
      <c r="D8" s="7" t="s">
        <v>433</v>
      </c>
      <c r="E8" s="58" t="s">
        <v>402</v>
      </c>
      <c r="F8" s="18" t="s">
        <v>435</v>
      </c>
      <c r="G8" s="19">
        <v>33</v>
      </c>
      <c r="H8" s="17">
        <v>1</v>
      </c>
      <c r="I8" s="17">
        <v>1</v>
      </c>
      <c r="J8" s="114">
        <f>365/7*5</f>
        <v>260.71428571428572</v>
      </c>
      <c r="K8" s="19">
        <f t="shared" si="0"/>
        <v>0.12657534246575342</v>
      </c>
      <c r="L8" s="18"/>
      <c r="M8" s="18" t="s">
        <v>1103</v>
      </c>
    </row>
    <row r="9" spans="1:14" ht="22.5" x14ac:dyDescent="0.25">
      <c r="A9" s="17" t="s">
        <v>16</v>
      </c>
      <c r="B9" s="6">
        <v>12.1</v>
      </c>
      <c r="C9" s="17" t="s">
        <v>67</v>
      </c>
      <c r="D9" s="7" t="s">
        <v>433</v>
      </c>
      <c r="E9" s="7" t="s">
        <v>434</v>
      </c>
      <c r="F9" s="18"/>
      <c r="G9" s="19">
        <v>100</v>
      </c>
      <c r="H9" s="17">
        <v>1</v>
      </c>
      <c r="I9" s="17">
        <v>1</v>
      </c>
      <c r="J9" s="114">
        <v>6</v>
      </c>
      <c r="K9" s="19">
        <f t="shared" si="0"/>
        <v>16.666666666666668</v>
      </c>
      <c r="L9" s="18" t="s">
        <v>1100</v>
      </c>
      <c r="M9" s="18"/>
    </row>
    <row r="10" spans="1:14" ht="22.5" x14ac:dyDescent="0.25">
      <c r="A10" s="17" t="s">
        <v>16</v>
      </c>
      <c r="B10" s="6">
        <v>12.1</v>
      </c>
      <c r="C10" s="17" t="s">
        <v>67</v>
      </c>
      <c r="D10" s="7" t="s">
        <v>433</v>
      </c>
      <c r="E10" s="7" t="s">
        <v>1101</v>
      </c>
      <c r="F10" s="18"/>
      <c r="G10" s="13">
        <v>60</v>
      </c>
      <c r="H10" s="35"/>
      <c r="I10" s="35">
        <v>1</v>
      </c>
      <c r="J10" s="34">
        <v>6</v>
      </c>
      <c r="K10" s="13">
        <f t="shared" si="0"/>
        <v>10</v>
      </c>
      <c r="L10" s="18" t="s">
        <v>1102</v>
      </c>
      <c r="M10" s="115"/>
      <c r="N10" s="116"/>
    </row>
    <row r="11" spans="1:14" ht="22.5" x14ac:dyDescent="0.25">
      <c r="A11" s="17" t="s">
        <v>16</v>
      </c>
      <c r="B11" s="6">
        <v>12.1</v>
      </c>
      <c r="C11" s="17" t="s">
        <v>67</v>
      </c>
      <c r="D11" s="7" t="s">
        <v>433</v>
      </c>
      <c r="E11" s="7" t="s">
        <v>437</v>
      </c>
      <c r="F11" s="18" t="s">
        <v>28</v>
      </c>
      <c r="G11" s="19">
        <v>2.7476851851851851</v>
      </c>
      <c r="H11" s="17">
        <v>20</v>
      </c>
      <c r="I11" s="17">
        <v>1</v>
      </c>
      <c r="J11" s="114">
        <f>20/14</f>
        <v>1.4285714285714286</v>
      </c>
      <c r="K11" s="19">
        <f t="shared" si="0"/>
        <v>1.9233796296296295</v>
      </c>
      <c r="L11" s="18" t="s">
        <v>438</v>
      </c>
      <c r="M11" s="18" t="s">
        <v>439</v>
      </c>
    </row>
    <row r="12" spans="1:14" ht="33.75" x14ac:dyDescent="0.25">
      <c r="A12" s="17" t="s">
        <v>16</v>
      </c>
      <c r="B12" s="6">
        <v>12.1</v>
      </c>
      <c r="C12" s="17" t="s">
        <v>67</v>
      </c>
      <c r="D12" s="7" t="s">
        <v>433</v>
      </c>
      <c r="E12" s="7" t="s">
        <v>419</v>
      </c>
      <c r="F12" s="17" t="s">
        <v>28</v>
      </c>
      <c r="G12" s="19">
        <v>1.6376203703703704</v>
      </c>
      <c r="H12" s="113">
        <v>1</v>
      </c>
      <c r="I12" s="113">
        <v>1</v>
      </c>
      <c r="J12" s="114">
        <f>365/84</f>
        <v>4.3452380952380949</v>
      </c>
      <c r="K12" s="24">
        <f t="shared" si="0"/>
        <v>0.37687701674277019</v>
      </c>
      <c r="L12" s="18" t="s">
        <v>440</v>
      </c>
      <c r="M12" s="18" t="s">
        <v>405</v>
      </c>
    </row>
    <row r="13" spans="1:14" ht="22.5" x14ac:dyDescent="0.25">
      <c r="A13" s="17" t="s">
        <v>16</v>
      </c>
      <c r="B13" s="6">
        <v>12.1</v>
      </c>
      <c r="C13" s="17" t="s">
        <v>67</v>
      </c>
      <c r="D13" s="7" t="s">
        <v>433</v>
      </c>
      <c r="E13" s="7" t="s">
        <v>421</v>
      </c>
      <c r="F13" s="18" t="s">
        <v>28</v>
      </c>
      <c r="G13" s="19">
        <v>1.9233796296296297</v>
      </c>
      <c r="H13" s="17">
        <v>4</v>
      </c>
      <c r="I13" s="17">
        <v>1</v>
      </c>
      <c r="J13" s="114">
        <f>365/84*6</f>
        <v>26.071428571428569</v>
      </c>
      <c r="K13" s="19">
        <f t="shared" si="0"/>
        <v>7.3773465246067996E-2</v>
      </c>
      <c r="L13" s="18" t="s">
        <v>441</v>
      </c>
      <c r="M13" s="18" t="s">
        <v>442</v>
      </c>
    </row>
    <row r="14" spans="1:14" ht="45" x14ac:dyDescent="0.25">
      <c r="A14" s="17" t="s">
        <v>16</v>
      </c>
      <c r="B14" s="6">
        <v>12.1</v>
      </c>
      <c r="C14" s="17" t="s">
        <v>67</v>
      </c>
      <c r="D14" s="7" t="s">
        <v>433</v>
      </c>
      <c r="E14" s="7" t="s">
        <v>443</v>
      </c>
      <c r="F14" s="17" t="s">
        <v>28</v>
      </c>
      <c r="G14" s="19">
        <v>0.76935185185185184</v>
      </c>
      <c r="H14" s="36">
        <v>1</v>
      </c>
      <c r="I14" s="35">
        <v>1</v>
      </c>
      <c r="J14" s="114">
        <f>365/84*6</f>
        <v>26.071428571428569</v>
      </c>
      <c r="K14" s="30">
        <f t="shared" si="0"/>
        <v>2.9509386098427196E-2</v>
      </c>
      <c r="L14" s="18" t="s">
        <v>516</v>
      </c>
      <c r="M14" s="18" t="s">
        <v>444</v>
      </c>
    </row>
    <row r="15" spans="1:14" ht="22.5" x14ac:dyDescent="0.25">
      <c r="A15" s="17" t="s">
        <v>16</v>
      </c>
      <c r="B15" s="6">
        <v>12.1</v>
      </c>
      <c r="C15" s="17" t="s">
        <v>67</v>
      </c>
      <c r="D15" s="7" t="s">
        <v>433</v>
      </c>
      <c r="E15" s="7" t="s">
        <v>407</v>
      </c>
      <c r="F15" s="17" t="s">
        <v>28</v>
      </c>
      <c r="G15" s="19">
        <v>1.0880833333333333</v>
      </c>
      <c r="H15" s="113">
        <v>1</v>
      </c>
      <c r="I15" s="113">
        <v>1</v>
      </c>
      <c r="J15" s="114">
        <f>365/84</f>
        <v>4.3452380952380949</v>
      </c>
      <c r="K15" s="24">
        <f t="shared" si="0"/>
        <v>0.2504082191780822</v>
      </c>
      <c r="L15" s="18" t="s">
        <v>446</v>
      </c>
      <c r="M15" s="18" t="s">
        <v>408</v>
      </c>
    </row>
    <row r="16" spans="1:14" ht="22.5" x14ac:dyDescent="0.25">
      <c r="A16" s="17" t="s">
        <v>16</v>
      </c>
      <c r="B16" s="6">
        <v>12.1</v>
      </c>
      <c r="C16" s="17" t="s">
        <v>67</v>
      </c>
      <c r="D16" s="7" t="s">
        <v>433</v>
      </c>
      <c r="E16" s="7" t="s">
        <v>447</v>
      </c>
      <c r="F16" s="17" t="s">
        <v>415</v>
      </c>
      <c r="G16" s="19">
        <v>3.2862314814814817</v>
      </c>
      <c r="H16" s="36">
        <v>30</v>
      </c>
      <c r="I16" s="35">
        <v>1</v>
      </c>
      <c r="J16" s="114">
        <f>30/7</f>
        <v>4.2857142857142856</v>
      </c>
      <c r="K16" s="30">
        <f t="shared" si="0"/>
        <v>0.76678734567901241</v>
      </c>
      <c r="L16" s="18" t="s">
        <v>448</v>
      </c>
      <c r="M16" s="38" t="s">
        <v>449</v>
      </c>
    </row>
    <row r="17" spans="1:14" ht="22.5" x14ac:dyDescent="0.25">
      <c r="A17" s="17" t="s">
        <v>16</v>
      </c>
      <c r="B17" s="6">
        <v>12.1</v>
      </c>
      <c r="C17" s="17" t="s">
        <v>67</v>
      </c>
      <c r="D17" s="7" t="s">
        <v>433</v>
      </c>
      <c r="E17" s="7" t="s">
        <v>425</v>
      </c>
      <c r="F17" s="17" t="s">
        <v>28</v>
      </c>
      <c r="G17" s="19">
        <v>0.8792592592592593</v>
      </c>
      <c r="H17" s="113">
        <v>1</v>
      </c>
      <c r="I17" s="113">
        <v>1</v>
      </c>
      <c r="J17" s="114">
        <f>365/84</f>
        <v>4.3452380952380949</v>
      </c>
      <c r="K17" s="24">
        <f t="shared" si="0"/>
        <v>0.20235007610350078</v>
      </c>
      <c r="L17" s="18" t="s">
        <v>450</v>
      </c>
      <c r="M17" s="18" t="s">
        <v>406</v>
      </c>
    </row>
    <row r="18" spans="1:14" ht="22.5" x14ac:dyDescent="0.25">
      <c r="A18" s="17" t="s">
        <v>16</v>
      </c>
      <c r="B18" s="6">
        <v>12.1</v>
      </c>
      <c r="C18" s="17" t="s">
        <v>67</v>
      </c>
      <c r="D18" s="28" t="s">
        <v>20</v>
      </c>
      <c r="E18" s="7" t="s">
        <v>426</v>
      </c>
      <c r="F18" s="17" t="s">
        <v>74</v>
      </c>
      <c r="G18" s="13">
        <v>37.5</v>
      </c>
      <c r="H18" s="36">
        <v>1</v>
      </c>
      <c r="I18" s="36">
        <v>1</v>
      </c>
      <c r="J18" s="34">
        <f>365/7*3</f>
        <v>156.42857142857144</v>
      </c>
      <c r="K18" s="42">
        <f t="shared" si="0"/>
        <v>0.23972602739726026</v>
      </c>
      <c r="L18" s="18" t="s">
        <v>1104</v>
      </c>
      <c r="M18" s="52" t="s">
        <v>1105</v>
      </c>
      <c r="N18" s="18"/>
    </row>
    <row r="19" spans="1:14" ht="22.5" x14ac:dyDescent="0.25">
      <c r="A19" s="17" t="s">
        <v>16</v>
      </c>
      <c r="B19" s="6">
        <v>12.1</v>
      </c>
      <c r="C19" s="17" t="s">
        <v>67</v>
      </c>
      <c r="D19" s="28" t="s">
        <v>20</v>
      </c>
      <c r="E19" s="7" t="s">
        <v>426</v>
      </c>
      <c r="F19" s="17" t="s">
        <v>74</v>
      </c>
      <c r="G19" s="13">
        <v>35</v>
      </c>
      <c r="H19" s="36">
        <v>8</v>
      </c>
      <c r="I19" s="36">
        <v>1</v>
      </c>
      <c r="J19" s="34">
        <f>365/84*24</f>
        <v>104.28571428571428</v>
      </c>
      <c r="K19" s="42">
        <f t="shared" si="0"/>
        <v>0.33561643835616439</v>
      </c>
      <c r="L19" s="18" t="s">
        <v>1106</v>
      </c>
      <c r="M19" s="52" t="s">
        <v>1107</v>
      </c>
      <c r="N19" s="18"/>
    </row>
    <row r="20" spans="1:14" ht="33.75" x14ac:dyDescent="0.25">
      <c r="A20" s="17" t="s">
        <v>16</v>
      </c>
      <c r="B20" s="6">
        <v>12.1</v>
      </c>
      <c r="C20" s="17" t="s">
        <v>67</v>
      </c>
      <c r="D20" s="7" t="s">
        <v>433</v>
      </c>
      <c r="E20" s="7" t="s">
        <v>451</v>
      </c>
      <c r="F20" s="17" t="s">
        <v>28</v>
      </c>
      <c r="G20" s="19">
        <v>0.8792592592592593</v>
      </c>
      <c r="H20" s="36">
        <v>30</v>
      </c>
      <c r="I20" s="35">
        <v>1</v>
      </c>
      <c r="J20" s="114">
        <f>30/7</f>
        <v>4.2857142857142856</v>
      </c>
      <c r="K20" s="30">
        <f t="shared" si="0"/>
        <v>0.20516049382716051</v>
      </c>
      <c r="L20" s="18" t="s">
        <v>452</v>
      </c>
      <c r="M20" s="18" t="s">
        <v>453</v>
      </c>
    </row>
    <row r="21" spans="1:14" ht="22.5" x14ac:dyDescent="0.25">
      <c r="A21" s="17" t="s">
        <v>16</v>
      </c>
      <c r="B21" s="6">
        <v>12.1</v>
      </c>
      <c r="C21" s="17" t="s">
        <v>67</v>
      </c>
      <c r="D21" s="7" t="s">
        <v>433</v>
      </c>
      <c r="E21" s="7" t="s">
        <v>454</v>
      </c>
      <c r="F21" s="18" t="s">
        <v>21</v>
      </c>
      <c r="G21" s="19">
        <v>1.3738425925925926</v>
      </c>
      <c r="H21" s="17">
        <v>1</v>
      </c>
      <c r="I21" s="17">
        <v>1</v>
      </c>
      <c r="J21" s="114">
        <f>365/7*2</f>
        <v>104.28571428571429</v>
      </c>
      <c r="K21" s="19">
        <f t="shared" si="0"/>
        <v>1.3173833079654996E-2</v>
      </c>
      <c r="L21" s="18" t="s">
        <v>455</v>
      </c>
      <c r="M21" s="18" t="s">
        <v>456</v>
      </c>
    </row>
    <row r="22" spans="1:14" ht="22.5" x14ac:dyDescent="0.25">
      <c r="A22" s="17" t="s">
        <v>16</v>
      </c>
      <c r="B22" s="6">
        <v>12.1</v>
      </c>
      <c r="C22" s="17" t="s">
        <v>67</v>
      </c>
      <c r="D22" s="7" t="s">
        <v>433</v>
      </c>
      <c r="E22" s="7" t="s">
        <v>428</v>
      </c>
      <c r="F22" s="17" t="s">
        <v>28</v>
      </c>
      <c r="G22" s="19">
        <v>1.0990740740740741</v>
      </c>
      <c r="H22" s="113">
        <v>1</v>
      </c>
      <c r="I22" s="113">
        <v>1</v>
      </c>
      <c r="J22" s="114">
        <f>365/84</f>
        <v>4.3452380952380949</v>
      </c>
      <c r="K22" s="24">
        <f t="shared" si="0"/>
        <v>0.25293759512937597</v>
      </c>
      <c r="L22" s="18" t="s">
        <v>457</v>
      </c>
      <c r="M22" s="115" t="s">
        <v>458</v>
      </c>
    </row>
    <row r="23" spans="1:14" ht="22.5" x14ac:dyDescent="0.25">
      <c r="A23" s="17" t="s">
        <v>16</v>
      </c>
      <c r="B23" s="6">
        <v>12.1</v>
      </c>
      <c r="C23" s="17" t="s">
        <v>67</v>
      </c>
      <c r="D23" s="7" t="s">
        <v>433</v>
      </c>
      <c r="E23" s="7" t="s">
        <v>459</v>
      </c>
      <c r="F23" s="18" t="s">
        <v>28</v>
      </c>
      <c r="G23" s="19">
        <v>1.0990740740740741</v>
      </c>
      <c r="H23" s="17">
        <v>1</v>
      </c>
      <c r="I23" s="17">
        <v>1</v>
      </c>
      <c r="J23" s="114">
        <f>365/84*3</f>
        <v>13.035714285714285</v>
      </c>
      <c r="K23" s="19">
        <f t="shared" si="0"/>
        <v>8.4312531709791985E-2</v>
      </c>
      <c r="L23" s="18" t="s">
        <v>460</v>
      </c>
      <c r="M23" s="18" t="s">
        <v>461</v>
      </c>
    </row>
    <row r="24" spans="1:14" ht="22.5" x14ac:dyDescent="0.25">
      <c r="A24" s="17" t="s">
        <v>16</v>
      </c>
      <c r="B24" s="6">
        <v>12.1</v>
      </c>
      <c r="C24" s="17" t="s">
        <v>67</v>
      </c>
      <c r="D24" s="7" t="s">
        <v>433</v>
      </c>
      <c r="E24" s="7" t="s">
        <v>462</v>
      </c>
      <c r="F24" s="18" t="s">
        <v>28</v>
      </c>
      <c r="G24" s="19">
        <v>0.82430555555555562</v>
      </c>
      <c r="H24" s="17">
        <v>2</v>
      </c>
      <c r="I24" s="17">
        <v>1</v>
      </c>
      <c r="J24" s="114">
        <f>365/84*2</f>
        <v>8.6904761904761898</v>
      </c>
      <c r="K24" s="19">
        <f t="shared" si="0"/>
        <v>9.4851598173516002E-2</v>
      </c>
      <c r="L24" s="18" t="s">
        <v>463</v>
      </c>
      <c r="M24" s="52" t="s">
        <v>464</v>
      </c>
    </row>
    <row r="25" spans="1:14" ht="33.75" x14ac:dyDescent="0.25">
      <c r="A25" s="17" t="s">
        <v>16</v>
      </c>
      <c r="B25" s="6">
        <v>12.1</v>
      </c>
      <c r="C25" s="17" t="s">
        <v>67</v>
      </c>
      <c r="D25" s="7" t="s">
        <v>433</v>
      </c>
      <c r="E25" s="7" t="s">
        <v>430</v>
      </c>
      <c r="F25" s="18" t="s">
        <v>28</v>
      </c>
      <c r="G25" s="19">
        <v>1.9673425925925927</v>
      </c>
      <c r="H25" s="17">
        <v>1</v>
      </c>
      <c r="I25" s="17">
        <v>1</v>
      </c>
      <c r="J25" s="114">
        <f>365/84</f>
        <v>4.3452380952380949</v>
      </c>
      <c r="K25" s="19">
        <f t="shared" si="0"/>
        <v>0.45275829528158301</v>
      </c>
      <c r="L25" s="18" t="s">
        <v>440</v>
      </c>
      <c r="M25" s="18" t="s">
        <v>465</v>
      </c>
    </row>
    <row r="26" spans="1:14" ht="33.75" x14ac:dyDescent="0.25">
      <c r="A26" s="17" t="s">
        <v>16</v>
      </c>
      <c r="B26" s="6">
        <v>12.1</v>
      </c>
      <c r="C26" s="17" t="s">
        <v>67</v>
      </c>
      <c r="D26" s="7" t="s">
        <v>433</v>
      </c>
      <c r="E26" s="7" t="s">
        <v>466</v>
      </c>
      <c r="F26" s="18" t="s">
        <v>28</v>
      </c>
      <c r="G26" s="19">
        <v>1.9673425925925927</v>
      </c>
      <c r="H26" s="17">
        <v>1</v>
      </c>
      <c r="I26" s="17">
        <v>1</v>
      </c>
      <c r="J26" s="114">
        <f>365/84</f>
        <v>4.3452380952380949</v>
      </c>
      <c r="K26" s="19">
        <f t="shared" si="0"/>
        <v>0.45275829528158301</v>
      </c>
      <c r="L26" s="18" t="s">
        <v>440</v>
      </c>
      <c r="M26" s="18" t="s">
        <v>467</v>
      </c>
    </row>
    <row r="27" spans="1:14" ht="33.75" x14ac:dyDescent="0.25">
      <c r="A27" s="17" t="s">
        <v>16</v>
      </c>
      <c r="B27" s="6">
        <v>12.1</v>
      </c>
      <c r="C27" s="17" t="s">
        <v>67</v>
      </c>
      <c r="D27" s="7" t="s">
        <v>433</v>
      </c>
      <c r="E27" s="7" t="s">
        <v>468</v>
      </c>
      <c r="F27" s="18"/>
      <c r="G27" s="19">
        <v>10.99074074074074</v>
      </c>
      <c r="H27" s="17">
        <v>1</v>
      </c>
      <c r="I27" s="17">
        <v>1</v>
      </c>
      <c r="J27" s="114">
        <f>4.35*2</f>
        <v>8.6999999999999993</v>
      </c>
      <c r="K27" s="19">
        <f t="shared" si="0"/>
        <v>1.2633035334184761</v>
      </c>
      <c r="L27" s="18" t="s">
        <v>469</v>
      </c>
      <c r="M27" s="18"/>
    </row>
    <row r="28" spans="1:14" ht="22.5" x14ac:dyDescent="0.25">
      <c r="A28" s="17" t="s">
        <v>16</v>
      </c>
      <c r="B28" s="6">
        <v>12.1</v>
      </c>
      <c r="C28" s="17" t="s">
        <v>67</v>
      </c>
      <c r="D28" s="7" t="s">
        <v>433</v>
      </c>
      <c r="E28" s="7" t="s">
        <v>470</v>
      </c>
      <c r="F28" s="18" t="s">
        <v>50</v>
      </c>
      <c r="G28" s="19">
        <v>1.0990740740740741</v>
      </c>
      <c r="H28" s="17">
        <v>1</v>
      </c>
      <c r="I28" s="17">
        <v>1</v>
      </c>
      <c r="J28" s="114">
        <f>365/84</f>
        <v>4.3452380952380949</v>
      </c>
      <c r="K28" s="19">
        <f t="shared" si="0"/>
        <v>0.25293759512937597</v>
      </c>
      <c r="L28" s="18" t="s">
        <v>457</v>
      </c>
      <c r="M28" s="18" t="s">
        <v>471</v>
      </c>
    </row>
    <row r="29" spans="1:14" ht="33.75" x14ac:dyDescent="0.25">
      <c r="A29" s="17" t="s">
        <v>16</v>
      </c>
      <c r="B29" s="6">
        <v>12.1</v>
      </c>
      <c r="C29" s="17" t="s">
        <v>67</v>
      </c>
      <c r="D29" s="7" t="s">
        <v>433</v>
      </c>
      <c r="E29" s="7" t="s">
        <v>472</v>
      </c>
      <c r="F29" s="18" t="s">
        <v>28</v>
      </c>
      <c r="G29" s="19">
        <v>1.2089814814814817</v>
      </c>
      <c r="H29" s="17">
        <v>1</v>
      </c>
      <c r="I29" s="17">
        <v>1</v>
      </c>
      <c r="J29" s="114">
        <f>365/84</f>
        <v>4.3452380952380949</v>
      </c>
      <c r="K29" s="19">
        <f t="shared" si="0"/>
        <v>0.27823135464231363</v>
      </c>
      <c r="L29" s="18" t="s">
        <v>473</v>
      </c>
      <c r="M29" s="18" t="s">
        <v>474</v>
      </c>
    </row>
    <row r="30" spans="1:14" ht="22.5" x14ac:dyDescent="0.25">
      <c r="A30" s="17" t="s">
        <v>16</v>
      </c>
      <c r="B30" s="6">
        <v>12.1</v>
      </c>
      <c r="C30" s="17" t="s">
        <v>67</v>
      </c>
      <c r="D30" s="7" t="s">
        <v>433</v>
      </c>
      <c r="E30" s="7" t="s">
        <v>475</v>
      </c>
      <c r="F30" s="18" t="s">
        <v>28</v>
      </c>
      <c r="G30" s="19">
        <v>6.594444444444445</v>
      </c>
      <c r="H30" s="17">
        <v>1</v>
      </c>
      <c r="I30" s="17">
        <v>1</v>
      </c>
      <c r="J30" s="114">
        <f>365/84</f>
        <v>4.3452380952380949</v>
      </c>
      <c r="K30" s="19">
        <f t="shared" si="0"/>
        <v>1.517625570776256</v>
      </c>
      <c r="L30" s="18" t="s">
        <v>476</v>
      </c>
      <c r="M30" s="18" t="s">
        <v>417</v>
      </c>
    </row>
    <row r="31" spans="1:14" ht="33.75" x14ac:dyDescent="0.25">
      <c r="A31" s="17" t="s">
        <v>16</v>
      </c>
      <c r="B31" s="6">
        <v>12.1</v>
      </c>
      <c r="C31" s="17" t="s">
        <v>67</v>
      </c>
      <c r="D31" s="7" t="s">
        <v>433</v>
      </c>
      <c r="E31" s="7" t="s">
        <v>409</v>
      </c>
      <c r="F31" s="17" t="s">
        <v>28</v>
      </c>
      <c r="G31" s="19">
        <v>0.54953703703703705</v>
      </c>
      <c r="H31" s="17">
        <v>1</v>
      </c>
      <c r="I31" s="17">
        <v>1</v>
      </c>
      <c r="J31" s="114">
        <f>365/7*5</f>
        <v>260.71428571428572</v>
      </c>
      <c r="K31" s="19">
        <f t="shared" si="0"/>
        <v>2.1078132927447994E-3</v>
      </c>
      <c r="L31" s="18" t="s">
        <v>843</v>
      </c>
      <c r="M31" s="18" t="s">
        <v>410</v>
      </c>
    </row>
    <row r="32" spans="1:14" ht="33.75" x14ac:dyDescent="0.25">
      <c r="A32" s="17" t="s">
        <v>16</v>
      </c>
      <c r="B32" s="6">
        <v>12.1</v>
      </c>
      <c r="C32" s="17" t="s">
        <v>67</v>
      </c>
      <c r="D32" s="7" t="s">
        <v>433</v>
      </c>
      <c r="E32" s="7" t="s">
        <v>478</v>
      </c>
      <c r="F32" s="18" t="s">
        <v>28</v>
      </c>
      <c r="G32" s="19">
        <v>5.4953703703703702</v>
      </c>
      <c r="H32" s="17">
        <v>1</v>
      </c>
      <c r="I32" s="17">
        <v>1</v>
      </c>
      <c r="J32" s="114">
        <f>365/7*5</f>
        <v>260.71428571428572</v>
      </c>
      <c r="K32" s="19">
        <f t="shared" si="0"/>
        <v>2.1078132927447996E-2</v>
      </c>
      <c r="L32" s="18" t="s">
        <v>479</v>
      </c>
      <c r="M32" s="52" t="s">
        <v>480</v>
      </c>
    </row>
    <row r="33" spans="1:14" x14ac:dyDescent="0.25">
      <c r="A33" s="17" t="s">
        <v>16</v>
      </c>
      <c r="B33" s="6">
        <v>12.1</v>
      </c>
      <c r="C33" s="17" t="s">
        <v>67</v>
      </c>
      <c r="D33" s="7" t="s">
        <v>20</v>
      </c>
      <c r="E33" s="7" t="s">
        <v>414</v>
      </c>
      <c r="F33" s="17"/>
      <c r="G33" s="19">
        <v>0</v>
      </c>
      <c r="H33" s="17">
        <v>0</v>
      </c>
      <c r="I33" s="17">
        <v>0</v>
      </c>
      <c r="J33" s="114">
        <f>365/7*10</f>
        <v>521.42857142857144</v>
      </c>
      <c r="K33" s="19">
        <f t="shared" si="0"/>
        <v>0</v>
      </c>
      <c r="L33" s="18" t="s">
        <v>481</v>
      </c>
      <c r="M33" s="18" t="s">
        <v>482</v>
      </c>
    </row>
    <row r="34" spans="1:14" ht="22.5" x14ac:dyDescent="0.25">
      <c r="A34" s="17" t="s">
        <v>16</v>
      </c>
      <c r="B34" s="6">
        <v>12.1</v>
      </c>
      <c r="C34" s="17" t="s">
        <v>67</v>
      </c>
      <c r="D34" s="7" t="s">
        <v>20</v>
      </c>
      <c r="E34" s="7" t="s">
        <v>483</v>
      </c>
      <c r="F34" s="18" t="s">
        <v>415</v>
      </c>
      <c r="G34" s="19">
        <v>4.385305555555556</v>
      </c>
      <c r="H34" s="17">
        <v>1</v>
      </c>
      <c r="I34" s="17">
        <v>1</v>
      </c>
      <c r="J34" s="114">
        <f>365/7*3</f>
        <v>156.42857142857144</v>
      </c>
      <c r="K34" s="19">
        <f t="shared" si="0"/>
        <v>2.8033916793505833E-2</v>
      </c>
      <c r="L34" s="18" t="s">
        <v>484</v>
      </c>
      <c r="M34" s="38" t="s">
        <v>485</v>
      </c>
    </row>
    <row r="35" spans="1:14" ht="33.75" x14ac:dyDescent="0.25">
      <c r="A35" s="17" t="s">
        <v>16</v>
      </c>
      <c r="B35" s="6">
        <v>12.1</v>
      </c>
      <c r="C35" s="17" t="s">
        <v>67</v>
      </c>
      <c r="D35" s="7" t="s">
        <v>433</v>
      </c>
      <c r="E35" s="7" t="s">
        <v>486</v>
      </c>
      <c r="F35" s="18" t="s">
        <v>27</v>
      </c>
      <c r="G35" s="19">
        <v>2.4729166666666669</v>
      </c>
      <c r="H35" s="17">
        <v>1</v>
      </c>
      <c r="I35" s="17">
        <v>1</v>
      </c>
      <c r="J35" s="114">
        <f>365/7*10</f>
        <v>521.42857142857144</v>
      </c>
      <c r="K35" s="19">
        <f t="shared" si="0"/>
        <v>4.7425799086757989E-3</v>
      </c>
      <c r="L35" s="18" t="s">
        <v>487</v>
      </c>
      <c r="M35" s="18" t="s">
        <v>488</v>
      </c>
    </row>
    <row r="36" spans="1:14" ht="22.5" x14ac:dyDescent="0.25">
      <c r="A36" s="17" t="s">
        <v>16</v>
      </c>
      <c r="B36" s="6">
        <v>12.1</v>
      </c>
      <c r="C36" s="17" t="s">
        <v>67</v>
      </c>
      <c r="D36" s="7" t="s">
        <v>433</v>
      </c>
      <c r="E36" s="7" t="s">
        <v>489</v>
      </c>
      <c r="F36" s="18"/>
      <c r="G36" s="13">
        <v>25</v>
      </c>
      <c r="H36" s="35">
        <v>1</v>
      </c>
      <c r="I36" s="35">
        <v>1</v>
      </c>
      <c r="J36" s="34">
        <f>365/84</f>
        <v>4.3452380952380949</v>
      </c>
      <c r="K36" s="13">
        <f t="shared" si="0"/>
        <v>5.7534246575342474</v>
      </c>
      <c r="L36" s="18" t="s">
        <v>1110</v>
      </c>
      <c r="M36" s="115"/>
    </row>
    <row r="37" spans="1:14" ht="22.5" x14ac:dyDescent="0.25">
      <c r="A37" s="17" t="s">
        <v>16</v>
      </c>
      <c r="B37" s="6">
        <v>12.1</v>
      </c>
      <c r="C37" s="17" t="s">
        <v>67</v>
      </c>
      <c r="D37" s="7" t="s">
        <v>433</v>
      </c>
      <c r="E37" s="7" t="s">
        <v>416</v>
      </c>
      <c r="F37" s="18"/>
      <c r="G37" s="19">
        <v>160</v>
      </c>
      <c r="H37" s="17">
        <v>1</v>
      </c>
      <c r="I37" s="17">
        <v>1</v>
      </c>
      <c r="J37" s="114">
        <f>365/7</f>
        <v>52.142857142857146</v>
      </c>
      <c r="K37" s="19">
        <f t="shared" ref="K37:K66" si="1">G37*I37/J37</f>
        <v>3.0684931506849313</v>
      </c>
      <c r="L37" s="99" t="s">
        <v>1109</v>
      </c>
      <c r="M37" s="38"/>
    </row>
    <row r="38" spans="1:14" ht="22.5" x14ac:dyDescent="0.25">
      <c r="A38" s="17" t="s">
        <v>16</v>
      </c>
      <c r="B38" s="6">
        <v>12.1</v>
      </c>
      <c r="C38" s="17" t="s">
        <v>67</v>
      </c>
      <c r="D38" s="28" t="s">
        <v>445</v>
      </c>
      <c r="E38" s="7" t="s">
        <v>517</v>
      </c>
      <c r="F38" s="18"/>
      <c r="G38" s="19">
        <v>10</v>
      </c>
      <c r="H38" s="17"/>
      <c r="I38" s="17">
        <v>1</v>
      </c>
      <c r="J38" s="114">
        <v>4.3499999999999996</v>
      </c>
      <c r="K38" s="19">
        <f t="shared" si="1"/>
        <v>2.298850574712644</v>
      </c>
      <c r="L38" s="18" t="s">
        <v>1108</v>
      </c>
      <c r="M38" s="115"/>
    </row>
    <row r="39" spans="1:14" ht="22.5" x14ac:dyDescent="0.25">
      <c r="A39" s="17" t="s">
        <v>16</v>
      </c>
      <c r="B39" s="6">
        <v>12.1</v>
      </c>
      <c r="C39" s="6" t="s">
        <v>67</v>
      </c>
      <c r="D39" s="7" t="s">
        <v>445</v>
      </c>
      <c r="E39" s="7" t="s">
        <v>1111</v>
      </c>
      <c r="F39" s="18"/>
      <c r="G39" s="13">
        <v>50</v>
      </c>
      <c r="H39" s="35"/>
      <c r="I39" s="35">
        <v>1</v>
      </c>
      <c r="J39" s="34">
        <v>6</v>
      </c>
      <c r="K39" s="13">
        <f t="shared" si="1"/>
        <v>8.3333333333333339</v>
      </c>
      <c r="L39" s="18" t="s">
        <v>1102</v>
      </c>
      <c r="M39" s="115"/>
      <c r="N39" s="18"/>
    </row>
    <row r="40" spans="1:14" ht="22.5" x14ac:dyDescent="0.25">
      <c r="A40" s="17" t="s">
        <v>16</v>
      </c>
      <c r="B40" s="6">
        <v>12.1</v>
      </c>
      <c r="C40" s="17" t="s">
        <v>67</v>
      </c>
      <c r="D40" s="28" t="s">
        <v>445</v>
      </c>
      <c r="E40" s="58" t="s">
        <v>402</v>
      </c>
      <c r="F40" s="18" t="s">
        <v>435</v>
      </c>
      <c r="G40" s="19">
        <v>33</v>
      </c>
      <c r="H40" s="17">
        <v>1</v>
      </c>
      <c r="I40" s="17">
        <v>1</v>
      </c>
      <c r="J40" s="114">
        <f>365/7*5</f>
        <v>260.71428571428572</v>
      </c>
      <c r="K40" s="19">
        <f t="shared" si="1"/>
        <v>0.12657534246575342</v>
      </c>
      <c r="L40" s="18"/>
      <c r="M40" s="18" t="s">
        <v>1103</v>
      </c>
    </row>
    <row r="41" spans="1:14" ht="45" x14ac:dyDescent="0.25">
      <c r="A41" s="17" t="s">
        <v>16</v>
      </c>
      <c r="B41" s="6">
        <v>12.1</v>
      </c>
      <c r="C41" s="17" t="s">
        <v>67</v>
      </c>
      <c r="D41" s="28" t="s">
        <v>445</v>
      </c>
      <c r="E41" s="7" t="s">
        <v>497</v>
      </c>
      <c r="F41" s="17" t="s">
        <v>28</v>
      </c>
      <c r="G41" s="19">
        <v>4.3962962962962964</v>
      </c>
      <c r="H41" s="36">
        <v>10</v>
      </c>
      <c r="I41" s="35">
        <v>2</v>
      </c>
      <c r="J41" s="114">
        <f>10/7</f>
        <v>1.4285714285714286</v>
      </c>
      <c r="K41" s="30">
        <f t="shared" si="1"/>
        <v>6.1548148148148147</v>
      </c>
      <c r="L41" s="18" t="s">
        <v>518</v>
      </c>
      <c r="M41" s="18" t="s">
        <v>498</v>
      </c>
    </row>
    <row r="42" spans="1:14" ht="22.5" x14ac:dyDescent="0.25">
      <c r="A42" s="17" t="s">
        <v>16</v>
      </c>
      <c r="B42" s="6">
        <v>12.1</v>
      </c>
      <c r="C42" s="17" t="s">
        <v>67</v>
      </c>
      <c r="D42" s="28" t="s">
        <v>445</v>
      </c>
      <c r="E42" s="7" t="s">
        <v>419</v>
      </c>
      <c r="F42" s="17" t="s">
        <v>28</v>
      </c>
      <c r="G42" s="19">
        <v>0.59350000000000003</v>
      </c>
      <c r="H42" s="17">
        <v>1</v>
      </c>
      <c r="I42" s="35">
        <v>1</v>
      </c>
      <c r="J42" s="114">
        <f>365/84</f>
        <v>4.3452380952380949</v>
      </c>
      <c r="K42" s="42">
        <f t="shared" si="1"/>
        <v>0.13658630136986302</v>
      </c>
      <c r="L42" s="18" t="s">
        <v>499</v>
      </c>
      <c r="M42" s="18" t="s">
        <v>420</v>
      </c>
    </row>
    <row r="43" spans="1:14" ht="22.5" x14ac:dyDescent="0.25">
      <c r="A43" s="17" t="s">
        <v>16</v>
      </c>
      <c r="B43" s="6">
        <v>12.1</v>
      </c>
      <c r="C43" s="17" t="s">
        <v>67</v>
      </c>
      <c r="D43" s="28" t="s">
        <v>445</v>
      </c>
      <c r="E43" s="7" t="s">
        <v>421</v>
      </c>
      <c r="F43" s="17" t="s">
        <v>28</v>
      </c>
      <c r="G43" s="19">
        <v>8.7925925925925927</v>
      </c>
      <c r="H43" s="17">
        <v>1</v>
      </c>
      <c r="I43" s="35">
        <v>1</v>
      </c>
      <c r="J43" s="114">
        <f>365/7*5</f>
        <v>260.71428571428572</v>
      </c>
      <c r="K43" s="42">
        <f t="shared" si="1"/>
        <v>3.372501268391679E-2</v>
      </c>
      <c r="L43" s="18" t="s">
        <v>500</v>
      </c>
      <c r="M43" s="18" t="s">
        <v>422</v>
      </c>
    </row>
    <row r="44" spans="1:14" ht="22.5" x14ac:dyDescent="0.25">
      <c r="A44" s="17" t="s">
        <v>16</v>
      </c>
      <c r="B44" s="6">
        <v>12.1</v>
      </c>
      <c r="C44" s="17" t="s">
        <v>67</v>
      </c>
      <c r="D44" s="28" t="s">
        <v>445</v>
      </c>
      <c r="E44" s="7" t="s">
        <v>423</v>
      </c>
      <c r="F44" s="17" t="s">
        <v>28</v>
      </c>
      <c r="G44" s="19">
        <v>8.7925925925925927</v>
      </c>
      <c r="H44" s="17">
        <v>4</v>
      </c>
      <c r="I44" s="35">
        <v>1</v>
      </c>
      <c r="J44" s="114">
        <v>4</v>
      </c>
      <c r="K44" s="42">
        <f t="shared" si="1"/>
        <v>2.1981481481481482</v>
      </c>
      <c r="L44" s="18" t="s">
        <v>501</v>
      </c>
      <c r="M44" s="18" t="s">
        <v>424</v>
      </c>
    </row>
    <row r="45" spans="1:14" ht="22.5" x14ac:dyDescent="0.25">
      <c r="A45" s="17" t="s">
        <v>16</v>
      </c>
      <c r="B45" s="6">
        <v>12.1</v>
      </c>
      <c r="C45" s="17" t="s">
        <v>67</v>
      </c>
      <c r="D45" s="28" t="s">
        <v>445</v>
      </c>
      <c r="E45" s="7" t="s">
        <v>443</v>
      </c>
      <c r="F45" s="17" t="s">
        <v>28</v>
      </c>
      <c r="G45" s="19">
        <v>0.76935185185185184</v>
      </c>
      <c r="H45" s="36">
        <v>1</v>
      </c>
      <c r="I45" s="35">
        <v>1</v>
      </c>
      <c r="J45" s="114">
        <f>365/84*2</f>
        <v>8.6904761904761898</v>
      </c>
      <c r="K45" s="30">
        <f t="shared" si="1"/>
        <v>8.8528158295281587E-2</v>
      </c>
      <c r="L45" s="18" t="s">
        <v>502</v>
      </c>
      <c r="M45" s="18" t="s">
        <v>444</v>
      </c>
    </row>
    <row r="46" spans="1:14" ht="22.5" x14ac:dyDescent="0.25">
      <c r="A46" s="17" t="s">
        <v>16</v>
      </c>
      <c r="B46" s="6">
        <v>12.1</v>
      </c>
      <c r="C46" s="17" t="s">
        <v>67</v>
      </c>
      <c r="D46" s="28" t="s">
        <v>445</v>
      </c>
      <c r="E46" s="7" t="s">
        <v>447</v>
      </c>
      <c r="F46" s="17" t="s">
        <v>415</v>
      </c>
      <c r="G46" s="19">
        <v>3.2862314814814817</v>
      </c>
      <c r="H46" s="36">
        <v>30</v>
      </c>
      <c r="I46" s="35">
        <v>1</v>
      </c>
      <c r="J46" s="114">
        <f>30/7</f>
        <v>4.2857142857142856</v>
      </c>
      <c r="K46" s="30">
        <f t="shared" si="1"/>
        <v>0.76678734567901241</v>
      </c>
      <c r="L46" s="18" t="s">
        <v>448</v>
      </c>
      <c r="M46" s="38" t="s">
        <v>449</v>
      </c>
    </row>
    <row r="47" spans="1:14" ht="22.5" x14ac:dyDescent="0.25">
      <c r="A47" s="17" t="s">
        <v>16</v>
      </c>
      <c r="B47" s="6">
        <v>12.1</v>
      </c>
      <c r="C47" s="17" t="s">
        <v>67</v>
      </c>
      <c r="D47" s="28" t="s">
        <v>445</v>
      </c>
      <c r="E47" s="7" t="s">
        <v>425</v>
      </c>
      <c r="F47" s="17" t="s">
        <v>28</v>
      </c>
      <c r="G47" s="19">
        <v>0.8792592592592593</v>
      </c>
      <c r="H47" s="113">
        <v>1</v>
      </c>
      <c r="I47" s="113">
        <v>1</v>
      </c>
      <c r="J47" s="114">
        <f>365/84</f>
        <v>4.3452380952380949</v>
      </c>
      <c r="K47" s="24">
        <f t="shared" si="1"/>
        <v>0.20235007610350078</v>
      </c>
      <c r="L47" s="18" t="s">
        <v>503</v>
      </c>
      <c r="M47" s="18" t="s">
        <v>406</v>
      </c>
    </row>
    <row r="48" spans="1:14" ht="22.5" x14ac:dyDescent="0.25">
      <c r="A48" s="17" t="s">
        <v>16</v>
      </c>
      <c r="B48" s="6">
        <v>12.1</v>
      </c>
      <c r="C48" s="17" t="s">
        <v>67</v>
      </c>
      <c r="D48" s="28" t="s">
        <v>445</v>
      </c>
      <c r="E48" s="7" t="s">
        <v>426</v>
      </c>
      <c r="F48" s="17" t="s">
        <v>74</v>
      </c>
      <c r="G48" s="13">
        <v>37.5</v>
      </c>
      <c r="H48" s="36">
        <v>1</v>
      </c>
      <c r="I48" s="36">
        <v>1</v>
      </c>
      <c r="J48" s="34">
        <f>365/7*3</f>
        <v>156.42857142857144</v>
      </c>
      <c r="K48" s="42">
        <f t="shared" si="1"/>
        <v>0.23972602739726026</v>
      </c>
      <c r="L48" s="18" t="s">
        <v>1104</v>
      </c>
      <c r="M48" s="52" t="s">
        <v>1105</v>
      </c>
    </row>
    <row r="49" spans="1:13" ht="22.5" x14ac:dyDescent="0.25">
      <c r="A49" s="17" t="s">
        <v>16</v>
      </c>
      <c r="B49" s="6">
        <v>12.1</v>
      </c>
      <c r="C49" s="17" t="s">
        <v>67</v>
      </c>
      <c r="D49" s="28" t="s">
        <v>445</v>
      </c>
      <c r="E49" s="7" t="s">
        <v>426</v>
      </c>
      <c r="F49" s="17" t="s">
        <v>74</v>
      </c>
      <c r="G49" s="13">
        <v>35</v>
      </c>
      <c r="H49" s="36">
        <v>8</v>
      </c>
      <c r="I49" s="36">
        <v>1</v>
      </c>
      <c r="J49" s="34">
        <f>365/84*24</f>
        <v>104.28571428571428</v>
      </c>
      <c r="K49" s="42">
        <f t="shared" si="1"/>
        <v>0.33561643835616439</v>
      </c>
      <c r="L49" s="18" t="s">
        <v>1106</v>
      </c>
      <c r="M49" s="52" t="s">
        <v>1107</v>
      </c>
    </row>
    <row r="50" spans="1:13" ht="22.5" x14ac:dyDescent="0.25">
      <c r="A50" s="17" t="s">
        <v>16</v>
      </c>
      <c r="B50" s="6">
        <v>12.1</v>
      </c>
      <c r="C50" s="17" t="s">
        <v>67</v>
      </c>
      <c r="D50" s="28" t="s">
        <v>445</v>
      </c>
      <c r="E50" s="7" t="s">
        <v>407</v>
      </c>
      <c r="F50" s="17" t="s">
        <v>28</v>
      </c>
      <c r="G50" s="19">
        <v>1.0880833333333333</v>
      </c>
      <c r="H50" s="113">
        <v>1</v>
      </c>
      <c r="I50" s="113">
        <v>1</v>
      </c>
      <c r="J50" s="114">
        <f>365/84</f>
        <v>4.3452380952380949</v>
      </c>
      <c r="K50" s="24">
        <f t="shared" si="1"/>
        <v>0.2504082191780822</v>
      </c>
      <c r="L50" s="18" t="s">
        <v>446</v>
      </c>
      <c r="M50" s="18" t="s">
        <v>408</v>
      </c>
    </row>
    <row r="51" spans="1:13" ht="33.75" x14ac:dyDescent="0.25">
      <c r="A51" s="17" t="s">
        <v>16</v>
      </c>
      <c r="B51" s="6">
        <v>12.1</v>
      </c>
      <c r="C51" s="17" t="s">
        <v>67</v>
      </c>
      <c r="D51" s="28" t="s">
        <v>445</v>
      </c>
      <c r="E51" s="7" t="s">
        <v>451</v>
      </c>
      <c r="F51" s="17" t="s">
        <v>28</v>
      </c>
      <c r="G51" s="19">
        <v>0.8792592592592593</v>
      </c>
      <c r="H51" s="36">
        <v>30</v>
      </c>
      <c r="I51" s="35">
        <v>1</v>
      </c>
      <c r="J51" s="114">
        <f>30/7</f>
        <v>4.2857142857142856</v>
      </c>
      <c r="K51" s="30">
        <f t="shared" si="1"/>
        <v>0.20516049382716051</v>
      </c>
      <c r="L51" s="18" t="s">
        <v>452</v>
      </c>
      <c r="M51" s="18" t="s">
        <v>453</v>
      </c>
    </row>
    <row r="52" spans="1:13" ht="22.5" x14ac:dyDescent="0.25">
      <c r="A52" s="17" t="s">
        <v>16</v>
      </c>
      <c r="B52" s="6">
        <v>12.1</v>
      </c>
      <c r="C52" s="17" t="s">
        <v>67</v>
      </c>
      <c r="D52" s="28" t="s">
        <v>445</v>
      </c>
      <c r="E52" s="7" t="s">
        <v>428</v>
      </c>
      <c r="F52" s="17" t="s">
        <v>28</v>
      </c>
      <c r="G52" s="19">
        <v>1.0990740740740741</v>
      </c>
      <c r="H52" s="17">
        <v>1</v>
      </c>
      <c r="I52" s="35">
        <v>1</v>
      </c>
      <c r="J52" s="114">
        <f>365/84</f>
        <v>4.3452380952380949</v>
      </c>
      <c r="K52" s="42">
        <f t="shared" si="1"/>
        <v>0.25293759512937597</v>
      </c>
      <c r="L52" s="18" t="s">
        <v>504</v>
      </c>
      <c r="M52" s="18" t="s">
        <v>429</v>
      </c>
    </row>
    <row r="53" spans="1:13" ht="22.5" x14ac:dyDescent="0.25">
      <c r="A53" s="17" t="s">
        <v>16</v>
      </c>
      <c r="B53" s="6">
        <v>12.1</v>
      </c>
      <c r="C53" s="17" t="s">
        <v>67</v>
      </c>
      <c r="D53" s="28" t="s">
        <v>445</v>
      </c>
      <c r="E53" s="7" t="s">
        <v>505</v>
      </c>
      <c r="F53" s="17" t="s">
        <v>28</v>
      </c>
      <c r="G53" s="19">
        <v>3.0224537037037038</v>
      </c>
      <c r="H53" s="17">
        <v>1</v>
      </c>
      <c r="I53" s="35">
        <v>1</v>
      </c>
      <c r="J53" s="114">
        <f>365/84</f>
        <v>4.3452380952380949</v>
      </c>
      <c r="K53" s="42">
        <f t="shared" si="1"/>
        <v>0.69557838660578397</v>
      </c>
      <c r="L53" s="18" t="s">
        <v>504</v>
      </c>
      <c r="M53" s="52" t="s">
        <v>432</v>
      </c>
    </row>
    <row r="54" spans="1:13" ht="22.5" x14ac:dyDescent="0.25">
      <c r="A54" s="17" t="s">
        <v>16</v>
      </c>
      <c r="B54" s="6">
        <v>12.1</v>
      </c>
      <c r="C54" s="17" t="s">
        <v>67</v>
      </c>
      <c r="D54" s="28" t="s">
        <v>445</v>
      </c>
      <c r="E54" s="7" t="s">
        <v>462</v>
      </c>
      <c r="F54" s="18" t="s">
        <v>28</v>
      </c>
      <c r="G54" s="19">
        <v>0.82430555555555562</v>
      </c>
      <c r="H54" s="17">
        <v>2</v>
      </c>
      <c r="I54" s="17">
        <v>1</v>
      </c>
      <c r="J54" s="114">
        <f>365/84*2</f>
        <v>8.6904761904761898</v>
      </c>
      <c r="K54" s="19">
        <f t="shared" si="1"/>
        <v>9.4851598173516002E-2</v>
      </c>
      <c r="L54" s="18" t="s">
        <v>463</v>
      </c>
      <c r="M54" s="52" t="s">
        <v>464</v>
      </c>
    </row>
    <row r="55" spans="1:13" ht="22.5" x14ac:dyDescent="0.25">
      <c r="A55" s="17" t="s">
        <v>16</v>
      </c>
      <c r="B55" s="6">
        <v>12.1</v>
      </c>
      <c r="C55" s="17" t="s">
        <v>67</v>
      </c>
      <c r="D55" s="28" t="s">
        <v>445</v>
      </c>
      <c r="E55" s="7" t="s">
        <v>430</v>
      </c>
      <c r="F55" s="17" t="s">
        <v>28</v>
      </c>
      <c r="G55" s="19">
        <v>1.0441203703703703</v>
      </c>
      <c r="H55" s="17">
        <v>1</v>
      </c>
      <c r="I55" s="35">
        <v>1</v>
      </c>
      <c r="J55" s="114">
        <f>365/84</f>
        <v>4.3452380952380949</v>
      </c>
      <c r="K55" s="42">
        <f t="shared" si="1"/>
        <v>0.24029071537290717</v>
      </c>
      <c r="L55" s="18" t="s">
        <v>504</v>
      </c>
      <c r="M55" s="18" t="s">
        <v>431</v>
      </c>
    </row>
    <row r="56" spans="1:13" ht="22.5" x14ac:dyDescent="0.25">
      <c r="A56" s="17" t="s">
        <v>16</v>
      </c>
      <c r="B56" s="6">
        <v>12.1</v>
      </c>
      <c r="C56" s="17" t="s">
        <v>67</v>
      </c>
      <c r="D56" s="29" t="s">
        <v>445</v>
      </c>
      <c r="E56" s="7" t="s">
        <v>506</v>
      </c>
      <c r="F56" s="18" t="s">
        <v>28</v>
      </c>
      <c r="G56" s="19">
        <v>3.2972222222222225</v>
      </c>
      <c r="H56" s="17">
        <v>1</v>
      </c>
      <c r="I56" s="17">
        <v>1</v>
      </c>
      <c r="J56" s="114">
        <f>365/84*6</f>
        <v>26.071428571428569</v>
      </c>
      <c r="K56" s="19">
        <f t="shared" si="1"/>
        <v>0.12646879756468798</v>
      </c>
      <c r="L56" s="18" t="s">
        <v>507</v>
      </c>
      <c r="M56" s="52" t="s">
        <v>508</v>
      </c>
    </row>
    <row r="57" spans="1:13" ht="22.5" x14ac:dyDescent="0.25">
      <c r="A57" s="17" t="s">
        <v>16</v>
      </c>
      <c r="B57" s="6">
        <v>12.1</v>
      </c>
      <c r="C57" s="17" t="s">
        <v>67</v>
      </c>
      <c r="D57" s="29" t="s">
        <v>445</v>
      </c>
      <c r="E57" s="7" t="s">
        <v>459</v>
      </c>
      <c r="F57" s="18" t="s">
        <v>28</v>
      </c>
      <c r="G57" s="19">
        <v>1.0990740740740741</v>
      </c>
      <c r="H57" s="17">
        <v>1</v>
      </c>
      <c r="I57" s="17">
        <v>1</v>
      </c>
      <c r="J57" s="114">
        <f>365/84*3</f>
        <v>13.035714285714285</v>
      </c>
      <c r="K57" s="19">
        <f t="shared" si="1"/>
        <v>8.4312531709791985E-2</v>
      </c>
      <c r="L57" s="18" t="s">
        <v>460</v>
      </c>
      <c r="M57" s="18" t="s">
        <v>461</v>
      </c>
    </row>
    <row r="58" spans="1:13" ht="22.5" x14ac:dyDescent="0.25">
      <c r="A58" s="17" t="s">
        <v>16</v>
      </c>
      <c r="B58" s="6">
        <v>12.1</v>
      </c>
      <c r="C58" s="17" t="s">
        <v>67</v>
      </c>
      <c r="D58" s="28" t="s">
        <v>445</v>
      </c>
      <c r="E58" s="7" t="s">
        <v>409</v>
      </c>
      <c r="F58" s="17" t="s">
        <v>28</v>
      </c>
      <c r="G58" s="19">
        <v>0.54953703703703705</v>
      </c>
      <c r="H58" s="17">
        <v>1</v>
      </c>
      <c r="I58" s="17">
        <v>1</v>
      </c>
      <c r="J58" s="114">
        <f>365/7*10</f>
        <v>521.42857142857144</v>
      </c>
      <c r="K58" s="19">
        <f t="shared" si="1"/>
        <v>1.0539066463723997E-3</v>
      </c>
      <c r="L58" s="18" t="s">
        <v>509</v>
      </c>
      <c r="M58" s="18" t="s">
        <v>410</v>
      </c>
    </row>
    <row r="59" spans="1:13" ht="33.75" x14ac:dyDescent="0.25">
      <c r="A59" s="17" t="s">
        <v>16</v>
      </c>
      <c r="B59" s="6">
        <v>12.1</v>
      </c>
      <c r="C59" s="17" t="s">
        <v>67</v>
      </c>
      <c r="D59" s="7" t="s">
        <v>445</v>
      </c>
      <c r="E59" s="7" t="s">
        <v>478</v>
      </c>
      <c r="F59" s="18" t="s">
        <v>28</v>
      </c>
      <c r="G59" s="19">
        <v>5.4953703703703702</v>
      </c>
      <c r="H59" s="17">
        <v>1</v>
      </c>
      <c r="I59" s="17">
        <v>1</v>
      </c>
      <c r="J59" s="114">
        <f>365/7*5</f>
        <v>260.71428571428572</v>
      </c>
      <c r="K59" s="19">
        <f t="shared" si="1"/>
        <v>2.1078132927447996E-2</v>
      </c>
      <c r="L59" s="18" t="s">
        <v>510</v>
      </c>
      <c r="M59" s="52" t="s">
        <v>480</v>
      </c>
    </row>
    <row r="60" spans="1:13" ht="33.75" x14ac:dyDescent="0.25">
      <c r="A60" s="17" t="s">
        <v>16</v>
      </c>
      <c r="B60" s="6">
        <v>12.1</v>
      </c>
      <c r="C60" s="17" t="s">
        <v>67</v>
      </c>
      <c r="D60" s="7" t="s">
        <v>445</v>
      </c>
      <c r="E60" s="7" t="s">
        <v>486</v>
      </c>
      <c r="F60" s="18" t="s">
        <v>27</v>
      </c>
      <c r="G60" s="19">
        <v>2.4729166666666669</v>
      </c>
      <c r="H60" s="17">
        <v>1</v>
      </c>
      <c r="I60" s="17">
        <v>1</v>
      </c>
      <c r="J60" s="114">
        <f>365/7*10</f>
        <v>521.42857142857144</v>
      </c>
      <c r="K60" s="19">
        <f t="shared" si="1"/>
        <v>4.7425799086757989E-3</v>
      </c>
      <c r="L60" s="18" t="s">
        <v>487</v>
      </c>
      <c r="M60" s="18" t="s">
        <v>488</v>
      </c>
    </row>
    <row r="61" spans="1:13" ht="22.5" x14ac:dyDescent="0.25">
      <c r="A61" s="17" t="s">
        <v>16</v>
      </c>
      <c r="B61" s="6">
        <v>12.1</v>
      </c>
      <c r="C61" s="17" t="s">
        <v>67</v>
      </c>
      <c r="D61" s="7" t="s">
        <v>445</v>
      </c>
      <c r="E61" s="7" t="s">
        <v>414</v>
      </c>
      <c r="F61" s="17"/>
      <c r="G61" s="19">
        <v>0</v>
      </c>
      <c r="H61" s="17">
        <v>0</v>
      </c>
      <c r="I61" s="17">
        <v>0</v>
      </c>
      <c r="J61" s="114">
        <f>365/7*10</f>
        <v>521.42857142857144</v>
      </c>
      <c r="K61" s="19">
        <f t="shared" si="1"/>
        <v>0</v>
      </c>
      <c r="L61" s="18" t="s">
        <v>519</v>
      </c>
      <c r="M61" s="18" t="s">
        <v>482</v>
      </c>
    </row>
    <row r="62" spans="1:13" ht="22.5" x14ac:dyDescent="0.25">
      <c r="A62" s="17" t="s">
        <v>16</v>
      </c>
      <c r="B62" s="6">
        <v>12.1</v>
      </c>
      <c r="C62" s="17" t="s">
        <v>67</v>
      </c>
      <c r="D62" s="7" t="s">
        <v>445</v>
      </c>
      <c r="E62" s="7" t="s">
        <v>511</v>
      </c>
      <c r="F62" s="18" t="s">
        <v>435</v>
      </c>
      <c r="G62" s="13">
        <v>160</v>
      </c>
      <c r="H62" s="35">
        <v>1</v>
      </c>
      <c r="I62" s="35">
        <v>1</v>
      </c>
      <c r="J62" s="34">
        <f>365/7</f>
        <v>52.142857142857146</v>
      </c>
      <c r="K62" s="34">
        <f t="shared" si="1"/>
        <v>3.0684931506849313</v>
      </c>
      <c r="L62" s="99" t="s">
        <v>1112</v>
      </c>
      <c r="M62" s="38"/>
    </row>
    <row r="63" spans="1:13" ht="67.5" x14ac:dyDescent="0.25">
      <c r="A63" s="17" t="s">
        <v>16</v>
      </c>
      <c r="B63" s="6">
        <v>12.3</v>
      </c>
      <c r="C63" s="17" t="s">
        <v>67</v>
      </c>
      <c r="D63" s="7" t="s">
        <v>52</v>
      </c>
      <c r="E63" s="7" t="s">
        <v>490</v>
      </c>
      <c r="F63" s="18" t="s">
        <v>74</v>
      </c>
      <c r="G63" s="19">
        <v>46.719745222929937</v>
      </c>
      <c r="H63" s="17">
        <v>2</v>
      </c>
      <c r="I63" s="17">
        <v>2</v>
      </c>
      <c r="J63" s="114">
        <f>365/7*20</f>
        <v>1042.8571428571429</v>
      </c>
      <c r="K63" s="19">
        <f t="shared" si="1"/>
        <v>8.9599511386440969E-2</v>
      </c>
      <c r="L63" s="18" t="s">
        <v>520</v>
      </c>
      <c r="M63" s="18" t="s">
        <v>491</v>
      </c>
    </row>
    <row r="64" spans="1:13" ht="22.5" x14ac:dyDescent="0.25">
      <c r="A64" s="17" t="s">
        <v>16</v>
      </c>
      <c r="B64" s="6">
        <v>12.3</v>
      </c>
      <c r="C64" s="17" t="s">
        <v>67</v>
      </c>
      <c r="D64" s="7" t="s">
        <v>521</v>
      </c>
      <c r="E64" s="7" t="s">
        <v>492</v>
      </c>
      <c r="F64" s="18" t="s">
        <v>49</v>
      </c>
      <c r="G64" s="19">
        <v>5.1807006369426754</v>
      </c>
      <c r="H64" s="35">
        <v>1</v>
      </c>
      <c r="I64" s="17">
        <v>1</v>
      </c>
      <c r="J64" s="114">
        <f>365/7*4</f>
        <v>208.57142857142858</v>
      </c>
      <c r="K64" s="19">
        <f t="shared" si="1"/>
        <v>2.4838975656574471E-2</v>
      </c>
      <c r="L64" s="18" t="s">
        <v>493</v>
      </c>
      <c r="M64" s="18" t="s">
        <v>494</v>
      </c>
    </row>
    <row r="65" spans="1:13" x14ac:dyDescent="0.25">
      <c r="A65" s="17" t="s">
        <v>16</v>
      </c>
      <c r="B65" s="6">
        <v>12.3</v>
      </c>
      <c r="C65" s="17" t="s">
        <v>67</v>
      </c>
      <c r="D65" s="7" t="s">
        <v>52</v>
      </c>
      <c r="E65" s="18" t="s">
        <v>418</v>
      </c>
      <c r="F65" s="18" t="s">
        <v>27</v>
      </c>
      <c r="G65" s="19">
        <v>7.7866242038216562</v>
      </c>
      <c r="H65" s="17">
        <v>1</v>
      </c>
      <c r="I65" s="17">
        <v>1</v>
      </c>
      <c r="J65" s="114">
        <f>365/7*2</f>
        <v>104.28571428571429</v>
      </c>
      <c r="K65" s="19">
        <f t="shared" si="1"/>
        <v>7.4666259488700815E-2</v>
      </c>
      <c r="L65" s="18" t="s">
        <v>495</v>
      </c>
      <c r="M65" s="57" t="s">
        <v>496</v>
      </c>
    </row>
    <row r="66" spans="1:13" ht="22.5" x14ac:dyDescent="0.25">
      <c r="A66" s="17" t="s">
        <v>16</v>
      </c>
      <c r="B66" s="6">
        <v>12.3</v>
      </c>
      <c r="C66" s="17" t="s">
        <v>67</v>
      </c>
      <c r="D66" s="7" t="s">
        <v>522</v>
      </c>
      <c r="E66" s="7" t="s">
        <v>492</v>
      </c>
      <c r="F66" s="18" t="s">
        <v>49</v>
      </c>
      <c r="G66" s="19">
        <v>5.1807006369426754</v>
      </c>
      <c r="H66" s="17">
        <v>1</v>
      </c>
      <c r="I66" s="17">
        <v>1</v>
      </c>
      <c r="J66" s="114">
        <f>365/7*4</f>
        <v>208.57142857142858</v>
      </c>
      <c r="K66" s="13">
        <f t="shared" si="1"/>
        <v>2.4838975656574471E-2</v>
      </c>
      <c r="L66" s="18" t="s">
        <v>512</v>
      </c>
      <c r="M66" s="18" t="s">
        <v>513</v>
      </c>
    </row>
    <row r="68" spans="1:13" x14ac:dyDescent="0.25">
      <c r="E68" s="49" t="s">
        <v>887</v>
      </c>
      <c r="F68" s="64">
        <f>SUM(K5:K66)</f>
        <v>74.676667063365244</v>
      </c>
    </row>
  </sheetData>
  <printOptions gridLines="1"/>
  <pageMargins left="0.7" right="0.7" top="0.75" bottom="0.75" header="0.3" footer="0.3"/>
  <pageSetup paperSize="9" scale="2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F56EC-F186-4247-A307-3D0D5E332FC6}">
  <dimension ref="A1:M20"/>
  <sheetViews>
    <sheetView view="pageBreakPreview" zoomScaleNormal="85" zoomScaleSheetLayoutView="100" workbookViewId="0"/>
  </sheetViews>
  <sheetFormatPr defaultColWidth="8.85546875" defaultRowHeight="15" x14ac:dyDescent="0.25"/>
  <cols>
    <col min="1" max="1" width="5.85546875" customWidth="1"/>
    <col min="2" max="2" width="7.140625" customWidth="1"/>
    <col min="3" max="3" width="6.42578125" customWidth="1"/>
    <col min="5" max="5" width="15.28515625" customWidth="1"/>
    <col min="7" max="7" width="7.140625" customWidth="1"/>
    <col min="8" max="8" width="6.42578125" customWidth="1"/>
    <col min="9" max="9" width="7.7109375" customWidth="1"/>
    <col min="10" max="10" width="8.140625" customWidth="1"/>
    <col min="11" max="11" width="7.42578125" customWidth="1"/>
    <col min="12" max="12" width="33.140625" customWidth="1"/>
    <col min="13" max="13" width="38" customWidth="1"/>
    <col min="14" max="14" width="11.42578125" customWidth="1"/>
  </cols>
  <sheetData>
    <row r="1" spans="1:13" ht="15.75" x14ac:dyDescent="0.25">
      <c r="A1" s="2" t="s">
        <v>1368</v>
      </c>
      <c r="B1" s="16"/>
      <c r="C1" s="17"/>
      <c r="D1" s="17"/>
      <c r="E1" s="17"/>
      <c r="F1" s="17"/>
      <c r="G1" s="17"/>
      <c r="H1" s="17"/>
      <c r="I1" s="17"/>
      <c r="J1" s="17"/>
      <c r="K1" s="17"/>
      <c r="L1" s="18"/>
      <c r="M1" s="17"/>
    </row>
    <row r="2" spans="1:13" x14ac:dyDescent="0.25">
      <c r="A2" s="15" t="s">
        <v>14</v>
      </c>
      <c r="B2" s="16"/>
      <c r="C2" s="15"/>
      <c r="D2" s="39"/>
      <c r="E2" s="39"/>
      <c r="F2" s="39"/>
      <c r="G2" s="39"/>
      <c r="H2" s="112"/>
      <c r="I2" s="39"/>
      <c r="J2" s="39"/>
      <c r="K2" s="39"/>
      <c r="L2" s="39"/>
      <c r="M2" s="39"/>
    </row>
    <row r="3" spans="1:13" x14ac:dyDescent="0.25">
      <c r="A3" s="20" t="s">
        <v>844</v>
      </c>
      <c r="B3" s="21"/>
      <c r="C3" s="10"/>
      <c r="D3" s="10"/>
      <c r="E3" s="10"/>
      <c r="F3" s="10"/>
      <c r="G3" s="10"/>
      <c r="H3" s="10"/>
      <c r="I3" s="10"/>
      <c r="J3" s="10"/>
      <c r="K3" s="10"/>
      <c r="L3" s="10"/>
      <c r="M3" s="10"/>
    </row>
    <row r="4" spans="1:13" ht="22.5" x14ac:dyDescent="0.25">
      <c r="A4" s="25" t="s">
        <v>0</v>
      </c>
      <c r="B4" s="25" t="s">
        <v>1</v>
      </c>
      <c r="C4" s="25" t="s">
        <v>2</v>
      </c>
      <c r="D4" s="26" t="s">
        <v>3</v>
      </c>
      <c r="E4" s="26" t="s">
        <v>4</v>
      </c>
      <c r="F4" s="26" t="s">
        <v>6</v>
      </c>
      <c r="G4" s="27" t="s">
        <v>7</v>
      </c>
      <c r="H4" s="27" t="s">
        <v>8</v>
      </c>
      <c r="I4" s="26" t="s">
        <v>9</v>
      </c>
      <c r="J4" s="26" t="s">
        <v>10</v>
      </c>
      <c r="K4" s="27" t="s">
        <v>11</v>
      </c>
      <c r="L4" s="27" t="s">
        <v>12</v>
      </c>
      <c r="M4" s="26" t="s">
        <v>13</v>
      </c>
    </row>
    <row r="5" spans="1:13" ht="16.5" customHeight="1" x14ac:dyDescent="0.25">
      <c r="A5" s="17" t="s">
        <v>16</v>
      </c>
      <c r="B5" s="6">
        <v>6.2</v>
      </c>
      <c r="C5" s="17" t="s">
        <v>67</v>
      </c>
      <c r="D5" s="7" t="s">
        <v>15</v>
      </c>
      <c r="E5" s="28" t="s">
        <v>573</v>
      </c>
      <c r="F5" s="28"/>
      <c r="G5" s="42">
        <v>0</v>
      </c>
      <c r="H5" s="43">
        <v>1</v>
      </c>
      <c r="I5" s="35">
        <v>4</v>
      </c>
      <c r="J5" s="114">
        <f>365/7</f>
        <v>52.142857142857146</v>
      </c>
      <c r="K5" s="30">
        <f t="shared" ref="K5:K18" si="0">G5*I5/J5</f>
        <v>0</v>
      </c>
      <c r="L5" s="18" t="s">
        <v>576</v>
      </c>
      <c r="M5" s="28" t="s">
        <v>574</v>
      </c>
    </row>
    <row r="6" spans="1:13" ht="45" x14ac:dyDescent="0.25">
      <c r="A6" s="17" t="s">
        <v>16</v>
      </c>
      <c r="B6" s="6">
        <v>6.1</v>
      </c>
      <c r="C6" s="17" t="s">
        <v>67</v>
      </c>
      <c r="D6" s="7" t="s">
        <v>15</v>
      </c>
      <c r="E6" s="7" t="s">
        <v>17</v>
      </c>
      <c r="F6" s="18"/>
      <c r="G6" s="19">
        <v>216.1319890009166</v>
      </c>
      <c r="H6" s="17">
        <v>1</v>
      </c>
      <c r="I6" s="35">
        <v>2</v>
      </c>
      <c r="J6" s="114">
        <f>365/7*5</f>
        <v>260.71428571428572</v>
      </c>
      <c r="K6" s="30">
        <f t="shared" si="0"/>
        <v>1.6579988197330588</v>
      </c>
      <c r="L6" s="18" t="s">
        <v>588</v>
      </c>
      <c r="M6" s="117" t="s">
        <v>575</v>
      </c>
    </row>
    <row r="7" spans="1:13" ht="22.5" x14ac:dyDescent="0.25">
      <c r="A7" s="17" t="s">
        <v>16</v>
      </c>
      <c r="B7" s="6">
        <v>6.2</v>
      </c>
      <c r="C7" s="17" t="s">
        <v>67</v>
      </c>
      <c r="D7" s="7" t="s">
        <v>15</v>
      </c>
      <c r="E7" s="7" t="s">
        <v>18</v>
      </c>
      <c r="F7" s="116"/>
      <c r="G7" s="19">
        <v>24.792493744787325</v>
      </c>
      <c r="H7" s="17">
        <v>1</v>
      </c>
      <c r="I7" s="17">
        <v>4</v>
      </c>
      <c r="J7" s="114">
        <f>365/7</f>
        <v>52.142857142857146</v>
      </c>
      <c r="K7" s="30">
        <f t="shared" si="0"/>
        <v>1.9018899311069728</v>
      </c>
      <c r="L7" s="18" t="s">
        <v>589</v>
      </c>
      <c r="M7" s="18" t="s">
        <v>34</v>
      </c>
    </row>
    <row r="8" spans="1:13" ht="22.5" x14ac:dyDescent="0.25">
      <c r="A8" s="17" t="s">
        <v>16</v>
      </c>
      <c r="B8" s="6">
        <v>6.2</v>
      </c>
      <c r="C8" s="17" t="s">
        <v>67</v>
      </c>
      <c r="D8" s="7" t="s">
        <v>15</v>
      </c>
      <c r="E8" s="7" t="s">
        <v>19</v>
      </c>
      <c r="F8" s="18"/>
      <c r="G8" s="19">
        <v>294.5931609674729</v>
      </c>
      <c r="H8" s="17">
        <v>1</v>
      </c>
      <c r="I8" s="17">
        <v>2</v>
      </c>
      <c r="J8" s="114">
        <f>365/7*5</f>
        <v>260.71428571428572</v>
      </c>
      <c r="K8" s="30">
        <f t="shared" si="0"/>
        <v>2.2598927416682852</v>
      </c>
      <c r="L8" s="18" t="s">
        <v>590</v>
      </c>
      <c r="M8" s="18" t="s">
        <v>577</v>
      </c>
    </row>
    <row r="9" spans="1:13" ht="22.5" x14ac:dyDescent="0.25">
      <c r="A9" s="17" t="s">
        <v>16</v>
      </c>
      <c r="B9" s="6">
        <v>6.2</v>
      </c>
      <c r="C9" s="17" t="s">
        <v>67</v>
      </c>
      <c r="D9" s="7" t="s">
        <v>15</v>
      </c>
      <c r="E9" s="7" t="s">
        <v>578</v>
      </c>
      <c r="F9" s="18"/>
      <c r="G9" s="19">
        <v>31.25104253544621</v>
      </c>
      <c r="H9" s="17">
        <v>1</v>
      </c>
      <c r="I9" s="17">
        <v>2</v>
      </c>
      <c r="J9" s="114">
        <f>365/84*2</f>
        <v>8.6904761904761898</v>
      </c>
      <c r="K9" s="30">
        <f t="shared" si="0"/>
        <v>7.1920207478835119</v>
      </c>
      <c r="L9" s="18" t="s">
        <v>591</v>
      </c>
      <c r="M9" s="115"/>
    </row>
    <row r="10" spans="1:13" ht="117" customHeight="1" x14ac:dyDescent="0.25">
      <c r="A10" s="17" t="s">
        <v>16</v>
      </c>
      <c r="B10" s="6">
        <v>6.1</v>
      </c>
      <c r="C10" s="17" t="s">
        <v>67</v>
      </c>
      <c r="D10" s="7" t="s">
        <v>15</v>
      </c>
      <c r="E10" s="7" t="s">
        <v>26</v>
      </c>
      <c r="F10" s="17" t="s">
        <v>27</v>
      </c>
      <c r="G10" s="19">
        <v>9.7259395050412465</v>
      </c>
      <c r="H10" s="17">
        <v>1</v>
      </c>
      <c r="I10" s="35">
        <v>1</v>
      </c>
      <c r="J10" s="114">
        <f>365/7*2</f>
        <v>104.28571428571429</v>
      </c>
      <c r="K10" s="30">
        <f t="shared" si="0"/>
        <v>9.3262433609984555E-2</v>
      </c>
      <c r="L10" s="18" t="s">
        <v>587</v>
      </c>
      <c r="M10" s="18" t="s">
        <v>33</v>
      </c>
    </row>
    <row r="11" spans="1:13" ht="37.5" customHeight="1" x14ac:dyDescent="0.25">
      <c r="A11" s="17" t="s">
        <v>16</v>
      </c>
      <c r="B11" s="6">
        <v>6.1</v>
      </c>
      <c r="C11" s="17" t="s">
        <v>67</v>
      </c>
      <c r="D11" s="7" t="s">
        <v>15</v>
      </c>
      <c r="E11" s="17" t="s">
        <v>24</v>
      </c>
      <c r="F11" s="17" t="s">
        <v>28</v>
      </c>
      <c r="G11" s="19">
        <v>1.2427589367552705</v>
      </c>
      <c r="H11" s="17">
        <v>40</v>
      </c>
      <c r="I11" s="17">
        <v>1</v>
      </c>
      <c r="J11" s="114">
        <f>365/7*5</f>
        <v>260.71428571428572</v>
      </c>
      <c r="K11" s="30">
        <f t="shared" si="0"/>
        <v>4.7667466067325441E-3</v>
      </c>
      <c r="L11" s="18" t="s">
        <v>592</v>
      </c>
      <c r="M11" s="18" t="s">
        <v>31</v>
      </c>
    </row>
    <row r="12" spans="1:13" ht="33.75" x14ac:dyDescent="0.25">
      <c r="A12" s="17" t="s">
        <v>16</v>
      </c>
      <c r="B12" s="6">
        <v>6.1</v>
      </c>
      <c r="C12" s="17" t="s">
        <v>67</v>
      </c>
      <c r="D12" s="7" t="s">
        <v>15</v>
      </c>
      <c r="E12" s="7" t="s">
        <v>22</v>
      </c>
      <c r="F12" s="17" t="s">
        <v>28</v>
      </c>
      <c r="G12" s="19">
        <v>0.3133913840513291</v>
      </c>
      <c r="H12" s="17">
        <v>16</v>
      </c>
      <c r="I12" s="17">
        <v>1</v>
      </c>
      <c r="J12" s="114">
        <f>365/84</f>
        <v>4.3452380952380949</v>
      </c>
      <c r="K12" s="30">
        <f t="shared" si="0"/>
        <v>7.2122948658388072E-2</v>
      </c>
      <c r="L12" s="18" t="s">
        <v>593</v>
      </c>
      <c r="M12" s="18" t="s">
        <v>29</v>
      </c>
    </row>
    <row r="13" spans="1:13" ht="33.75" x14ac:dyDescent="0.25">
      <c r="A13" s="17" t="s">
        <v>16</v>
      </c>
      <c r="B13" s="6">
        <v>6.1</v>
      </c>
      <c r="C13" s="17" t="s">
        <v>67</v>
      </c>
      <c r="D13" s="7" t="s">
        <v>15</v>
      </c>
      <c r="E13" s="7" t="s">
        <v>579</v>
      </c>
      <c r="F13" s="18" t="s">
        <v>28</v>
      </c>
      <c r="G13" s="19">
        <v>2.4314848762603116</v>
      </c>
      <c r="H13" s="17">
        <v>1</v>
      </c>
      <c r="I13" s="17">
        <v>1</v>
      </c>
      <c r="J13" s="114">
        <f>365/7</f>
        <v>52.142857142857146</v>
      </c>
      <c r="K13" s="30">
        <f t="shared" si="0"/>
        <v>4.6631216804992277E-2</v>
      </c>
      <c r="L13" s="18" t="s">
        <v>594</v>
      </c>
      <c r="M13" s="18" t="s">
        <v>580</v>
      </c>
    </row>
    <row r="14" spans="1:13" ht="22.5" x14ac:dyDescent="0.25">
      <c r="A14" s="17" t="s">
        <v>16</v>
      </c>
      <c r="B14" s="6">
        <v>6.1</v>
      </c>
      <c r="C14" s="17" t="s">
        <v>67</v>
      </c>
      <c r="D14" s="7" t="s">
        <v>15</v>
      </c>
      <c r="E14" s="7" t="s">
        <v>23</v>
      </c>
      <c r="F14" s="17" t="s">
        <v>21</v>
      </c>
      <c r="G14" s="19">
        <v>4.3226397800183314</v>
      </c>
      <c r="H14" s="17">
        <v>10</v>
      </c>
      <c r="I14" s="17">
        <v>2</v>
      </c>
      <c r="J14" s="114">
        <f>365/7</f>
        <v>52.142857142857146</v>
      </c>
      <c r="K14" s="30">
        <f t="shared" si="0"/>
        <v>0.16579988197330586</v>
      </c>
      <c r="L14" s="18" t="s">
        <v>595</v>
      </c>
      <c r="M14" s="52" t="s">
        <v>30</v>
      </c>
    </row>
    <row r="15" spans="1:13" ht="33.75" x14ac:dyDescent="0.25">
      <c r="A15" s="17" t="s">
        <v>16</v>
      </c>
      <c r="B15" s="6">
        <v>6.1</v>
      </c>
      <c r="C15" s="17" t="s">
        <v>67</v>
      </c>
      <c r="D15" s="7" t="s">
        <v>15</v>
      </c>
      <c r="E15" s="7" t="s">
        <v>581</v>
      </c>
      <c r="F15" s="18" t="s">
        <v>28</v>
      </c>
      <c r="G15" s="19">
        <v>4.8629697525206232</v>
      </c>
      <c r="H15" s="17">
        <v>1</v>
      </c>
      <c r="I15" s="17">
        <v>2</v>
      </c>
      <c r="J15" s="114">
        <f>365/84*6</f>
        <v>26.071428571428569</v>
      </c>
      <c r="K15" s="30">
        <f t="shared" si="0"/>
        <v>0.37304973443993827</v>
      </c>
      <c r="L15" s="18" t="s">
        <v>596</v>
      </c>
      <c r="M15" s="18" t="s">
        <v>582</v>
      </c>
    </row>
    <row r="16" spans="1:13" ht="33.75" x14ac:dyDescent="0.25">
      <c r="A16" s="17" t="s">
        <v>16</v>
      </c>
      <c r="B16" s="6">
        <v>6.1</v>
      </c>
      <c r="C16" s="17" t="s">
        <v>67</v>
      </c>
      <c r="D16" s="7" t="s">
        <v>15</v>
      </c>
      <c r="E16" s="7" t="s">
        <v>583</v>
      </c>
      <c r="F16" s="18" t="s">
        <v>28</v>
      </c>
      <c r="G16" s="19">
        <v>4.8629697525206241</v>
      </c>
      <c r="H16" s="17">
        <v>1</v>
      </c>
      <c r="I16" s="17">
        <v>2</v>
      </c>
      <c r="J16" s="114">
        <f>365/84</f>
        <v>4.3452380952380949</v>
      </c>
      <c r="K16" s="30">
        <f t="shared" si="0"/>
        <v>2.2382984066396299</v>
      </c>
      <c r="L16" s="18" t="s">
        <v>597</v>
      </c>
      <c r="M16" s="18" t="s">
        <v>584</v>
      </c>
    </row>
    <row r="17" spans="1:13" ht="22.5" x14ac:dyDescent="0.25">
      <c r="A17" s="7" t="s">
        <v>16</v>
      </c>
      <c r="B17" s="6">
        <v>6.1</v>
      </c>
      <c r="C17" s="17" t="s">
        <v>67</v>
      </c>
      <c r="D17" s="29" t="s">
        <v>15</v>
      </c>
      <c r="E17" s="18" t="s">
        <v>25</v>
      </c>
      <c r="F17" s="17" t="s">
        <v>28</v>
      </c>
      <c r="G17" s="19">
        <v>3.5121448212648949</v>
      </c>
      <c r="H17" s="17">
        <v>1</v>
      </c>
      <c r="I17" s="32">
        <v>1</v>
      </c>
      <c r="J17" s="33">
        <f>365/7</f>
        <v>52.142857142857146</v>
      </c>
      <c r="K17" s="30">
        <f t="shared" si="0"/>
        <v>6.7356202051655517E-2</v>
      </c>
      <c r="L17" s="31" t="s">
        <v>598</v>
      </c>
      <c r="M17" s="18" t="s">
        <v>32</v>
      </c>
    </row>
    <row r="18" spans="1:13" ht="33.75" x14ac:dyDescent="0.25">
      <c r="A18" s="17" t="s">
        <v>16</v>
      </c>
      <c r="B18" s="6">
        <v>6.1</v>
      </c>
      <c r="C18" s="17" t="s">
        <v>67</v>
      </c>
      <c r="D18" s="7" t="s">
        <v>15</v>
      </c>
      <c r="E18" s="7" t="s">
        <v>585</v>
      </c>
      <c r="F18" s="18" t="s">
        <v>415</v>
      </c>
      <c r="G18" s="19">
        <v>4.3118331805682866</v>
      </c>
      <c r="H18" s="17">
        <v>1</v>
      </c>
      <c r="I18" s="17">
        <v>1</v>
      </c>
      <c r="J18" s="114">
        <f>365/7*10</f>
        <v>521.42857142857144</v>
      </c>
      <c r="K18" s="30">
        <f t="shared" si="0"/>
        <v>8.2692691134186314E-3</v>
      </c>
      <c r="L18" s="18" t="s">
        <v>599</v>
      </c>
      <c r="M18" s="53" t="s">
        <v>586</v>
      </c>
    </row>
    <row r="19" spans="1:13" x14ac:dyDescent="0.25">
      <c r="K19" s="63"/>
    </row>
    <row r="20" spans="1:13" x14ac:dyDescent="0.25">
      <c r="E20" s="118" t="s">
        <v>888</v>
      </c>
      <c r="F20" s="119">
        <f>SUM(K5:K18)</f>
        <v>16.081359080289879</v>
      </c>
    </row>
  </sheetData>
  <printOptions gridLines="1"/>
  <pageMargins left="0.7" right="0.7" top="0.75" bottom="0.75" header="0.3" footer="0.3"/>
  <pageSetup paperSize="9" scale="7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24ecc01-7ca0-4387-8322-32016978bd06">
      <Terms xmlns="http://schemas.microsoft.com/office/infopath/2007/PartnerControls"/>
    </lcf76f155ced4ddcb4097134ff3c332f>
    <TaxCatchAll xmlns="6ddb0372-e2a1-456a-8256-8d404cb00e7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787164FA2F0584B9DFB1D1900CDE361" ma:contentTypeVersion="14" ma:contentTypeDescription="Create a new document." ma:contentTypeScope="" ma:versionID="cc81f830150d8d0dd02e5564932f652e">
  <xsd:schema xmlns:xsd="http://www.w3.org/2001/XMLSchema" xmlns:xs="http://www.w3.org/2001/XMLSchema" xmlns:p="http://schemas.microsoft.com/office/2006/metadata/properties" xmlns:ns2="e24ecc01-7ca0-4387-8322-32016978bd06" xmlns:ns3="6ddb0372-e2a1-456a-8256-8d404cb00e78" targetNamespace="http://schemas.microsoft.com/office/2006/metadata/properties" ma:root="true" ma:fieldsID="4fad576642296d42d6bf3d161d9f286f" ns2:_="" ns3:_="">
    <xsd:import namespace="e24ecc01-7ca0-4387-8322-32016978bd06"/>
    <xsd:import namespace="6ddb0372-e2a1-456a-8256-8d404cb00e78"/>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4ecc01-7ca0-4387-8322-32016978bd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56de3010-cad3-4aa9-927a-e47e01e5a510"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ddb0372-e2a1-456a-8256-8d404cb00e7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360ba00-0083-4746-a6bb-a2cc861dc1b6}" ma:internalName="TaxCatchAll" ma:showField="CatchAllData" ma:web="6ddb0372-e2a1-456a-8256-8d404cb00e78">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C8C3866-861B-455C-9F18-289C316867EC}">
  <ds:schemaRefs>
    <ds:schemaRef ds:uri="http://schemas.microsoft.com/sharepoint/v3/contenttype/forms"/>
  </ds:schemaRefs>
</ds:datastoreItem>
</file>

<file path=customXml/itemProps2.xml><?xml version="1.0" encoding="utf-8"?>
<ds:datastoreItem xmlns:ds="http://schemas.openxmlformats.org/officeDocument/2006/customXml" ds:itemID="{E1DCC1F0-5EC6-4061-AE78-61FE8490A751}">
  <ds:schemaRefs>
    <ds:schemaRef ds:uri="http://schemas.microsoft.com/office/2006/metadata/properties"/>
    <ds:schemaRef ds:uri="http://schemas.microsoft.com/office/infopath/2007/PartnerControls"/>
    <ds:schemaRef ds:uri="e24ecc01-7ca0-4387-8322-32016978bd06"/>
    <ds:schemaRef ds:uri="6ddb0372-e2a1-456a-8256-8d404cb00e78"/>
  </ds:schemaRefs>
</ds:datastoreItem>
</file>

<file path=customXml/itemProps3.xml><?xml version="1.0" encoding="utf-8"?>
<ds:datastoreItem xmlns:ds="http://schemas.openxmlformats.org/officeDocument/2006/customXml" ds:itemID="{F15EA791-EF1D-458A-BFE0-885FDB0CD55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6</vt:i4>
      </vt:variant>
    </vt:vector>
  </HeadingPairs>
  <TitlesOfParts>
    <vt:vector size="18" baseType="lpstr">
      <vt:lpstr>Totals</vt:lpstr>
      <vt:lpstr>Food</vt:lpstr>
      <vt:lpstr>Alcohol</vt:lpstr>
      <vt:lpstr>Clothing</vt:lpstr>
      <vt:lpstr>Housing</vt:lpstr>
      <vt:lpstr>HHGoods</vt:lpstr>
      <vt:lpstr>HHServices</vt:lpstr>
      <vt:lpstr>PersonalGoods+Services</vt:lpstr>
      <vt:lpstr>Health</vt:lpstr>
      <vt:lpstr>Transport</vt:lpstr>
      <vt:lpstr>LeisureGoods</vt:lpstr>
      <vt:lpstr>LeisureServices</vt:lpstr>
      <vt:lpstr>Alcohol!Print_Area</vt:lpstr>
      <vt:lpstr>Clothing!Print_Area</vt:lpstr>
      <vt:lpstr>HHGoods!Print_Area</vt:lpstr>
      <vt:lpstr>HHServices!Print_Area</vt:lpstr>
      <vt:lpstr>LeisureGoods!Print_Area</vt:lpstr>
      <vt:lpstr>Clothing!Print_Titles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Chloe Blackwell</dc:creator>
  <cp:lastModifiedBy>Simon Sarkar</cp:lastModifiedBy>
  <cp:lastPrinted>2022-09-01T21:47:07Z</cp:lastPrinted>
  <dcterms:created xsi:type="dcterms:W3CDTF">2022-04-20T14:21:19Z</dcterms:created>
  <dcterms:modified xsi:type="dcterms:W3CDTF">2024-01-23T21:46:55Z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0x010100C787164FA2F0584B9DFB1D1900CDE361</vt:lpwstr>
  </property>
  <property fmtid="{D5CDD505-2E9C-101B-9397-08002B2CF9AE}" pid="3" name="MediaServiceImageTags">
    <vt:lpwstr/>
  </property>
</Properties>
</file>